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trlProps/ctrlProp4.xml" ContentType="application/vnd.ms-excel.controlproperties+xml"/>
  <Override PartName="/xl/ctrlProps/ctrlProp3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0" windowWidth="23256" windowHeight="10908"/>
  </bookViews>
  <sheets>
    <sheet name="Calculator by DF Pounds" sheetId="4" r:id="rId1"/>
    <sheet name="Dashboard Tables" sheetId="5" state="hidden" r:id="rId2"/>
  </sheets>
  <definedNames>
    <definedName name="_xlnm.Print_Area" localSheetId="0">'Calculator by DF Pounds'!$C$1:$Q$46</definedName>
    <definedName name="switch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/>
  <c r="I39" l="1"/>
  <c r="I33"/>
  <c r="I14"/>
  <c r="AA53"/>
  <c r="AB53" s="1"/>
  <c r="AC53" s="1"/>
  <c r="AA54"/>
  <c r="AB54" s="1"/>
  <c r="AC54" s="1"/>
  <c r="AA55"/>
  <c r="AB55" s="1"/>
  <c r="AC55" s="1"/>
  <c r="AA56"/>
  <c r="AB56" s="1"/>
  <c r="AC56" s="1"/>
  <c r="AA57"/>
  <c r="AB57" s="1"/>
  <c r="AC57" s="1"/>
  <c r="X70"/>
  <c r="W70"/>
  <c r="AA66"/>
  <c r="AB66" s="1"/>
  <c r="AC66" s="1"/>
  <c r="AA65"/>
  <c r="AB65" s="1"/>
  <c r="AC65" s="1"/>
  <c r="AA64"/>
  <c r="AB64" s="1"/>
  <c r="AC64" s="1"/>
  <c r="AA63"/>
  <c r="AB63" s="1"/>
  <c r="AC63" s="1"/>
  <c r="AA62"/>
  <c r="AB62" s="1"/>
  <c r="AC62" s="1"/>
  <c r="K41"/>
  <c r="L41" s="1"/>
  <c r="Q41" s="1"/>
  <c r="K42"/>
  <c r="L42" s="1"/>
  <c r="Q42" s="1"/>
  <c r="K43"/>
  <c r="L43" s="1"/>
  <c r="Q43" s="1"/>
  <c r="K44"/>
  <c r="L44" s="1"/>
  <c r="Q44" s="1"/>
  <c r="K45"/>
  <c r="L45" s="1"/>
  <c r="Q45" s="1"/>
  <c r="K21"/>
  <c r="L21" s="1"/>
  <c r="P21" s="1"/>
  <c r="K20"/>
  <c r="L20" s="1"/>
  <c r="P20" s="1"/>
  <c r="K18"/>
  <c r="L18" s="1"/>
  <c r="P18" s="1"/>
  <c r="K17"/>
  <c r="L17" s="1"/>
  <c r="O17" s="1"/>
  <c r="K29"/>
  <c r="L29" s="1"/>
  <c r="P29" s="1"/>
  <c r="K28"/>
  <c r="L28" s="1"/>
  <c r="P28" s="1"/>
  <c r="K27"/>
  <c r="L27" s="1"/>
  <c r="P27" s="1"/>
  <c r="K26"/>
  <c r="L26" s="1"/>
  <c r="N26" s="1"/>
  <c r="K25"/>
  <c r="L25" s="1"/>
  <c r="P25" s="1"/>
  <c r="K23"/>
  <c r="L23" s="1"/>
  <c r="N23" s="1"/>
  <c r="K19"/>
  <c r="L19" s="1"/>
  <c r="P19" s="1"/>
  <c r="K22"/>
  <c r="L22" s="1"/>
  <c r="N22" s="1"/>
  <c r="AD57" l="1"/>
  <c r="AF57" s="1"/>
  <c r="AD66"/>
  <c r="AH66" s="1"/>
  <c r="AD56"/>
  <c r="AG56" s="1"/>
  <c r="AD65"/>
  <c r="AF65" s="1"/>
  <c r="AD55"/>
  <c r="AE55" s="1"/>
  <c r="AD64"/>
  <c r="AF64" s="1"/>
  <c r="AD54"/>
  <c r="AG54" s="1"/>
  <c r="AD63"/>
  <c r="AH63" s="1"/>
  <c r="AD53"/>
  <c r="AF53" s="1"/>
  <c r="AD62"/>
  <c r="AG62" s="1"/>
  <c r="P41" s="1"/>
  <c r="AC58"/>
  <c r="N45"/>
  <c r="N44"/>
  <c r="N43"/>
  <c r="N42"/>
  <c r="N41"/>
  <c r="AC67"/>
  <c r="L46"/>
  <c r="O20"/>
  <c r="N19"/>
  <c r="O26"/>
  <c r="P17"/>
  <c r="N17"/>
  <c r="P26"/>
  <c r="O21"/>
  <c r="O18"/>
  <c r="O22"/>
  <c r="O27"/>
  <c r="N18"/>
  <c r="N27"/>
  <c r="N21"/>
  <c r="P22"/>
  <c r="O19"/>
  <c r="O23"/>
  <c r="O28"/>
  <c r="N20"/>
  <c r="N28"/>
  <c r="P23"/>
  <c r="O25"/>
  <c r="O29"/>
  <c r="N25"/>
  <c r="N29"/>
  <c r="L30"/>
  <c r="M46"/>
  <c r="AE66" l="1"/>
  <c r="AF66"/>
  <c r="O45" s="1"/>
  <c r="AH55"/>
  <c r="AF54"/>
  <c r="AG57"/>
  <c r="AE57"/>
  <c r="AG55"/>
  <c r="AG53"/>
  <c r="AF55"/>
  <c r="O43" s="1"/>
  <c r="AH57"/>
  <c r="AE53"/>
  <c r="AF63"/>
  <c r="O42" s="1"/>
  <c r="AE54"/>
  <c r="AH53"/>
  <c r="AH56"/>
  <c r="AG65"/>
  <c r="P44" s="1"/>
  <c r="AE65"/>
  <c r="AH54"/>
  <c r="AE56"/>
  <c r="AE63"/>
  <c r="AG63"/>
  <c r="P42" s="1"/>
  <c r="AH62"/>
  <c r="AH65"/>
  <c r="AE62"/>
  <c r="AF62"/>
  <c r="O41" s="1"/>
  <c r="AH64"/>
  <c r="AG64"/>
  <c r="P43" s="1"/>
  <c r="AF56"/>
  <c r="O44" s="1"/>
  <c r="AE64"/>
  <c r="AG66"/>
  <c r="P45" s="1"/>
  <c r="AD67"/>
  <c r="AD58"/>
  <c r="M36"/>
  <c r="T70"/>
  <c r="U70"/>
  <c r="AF58" l="1"/>
  <c r="AG58"/>
  <c r="AF67"/>
  <c r="AH67"/>
  <c r="AE67"/>
  <c r="AE58"/>
  <c r="AH58"/>
  <c r="AG67"/>
  <c r="Q46"/>
  <c r="P46"/>
  <c r="P30"/>
  <c r="M30"/>
  <c r="O16"/>
  <c r="G6" i="5" l="1"/>
  <c r="W73" i="4"/>
  <c r="AC80"/>
  <c r="AD80" s="1"/>
  <c r="AE80" s="1"/>
  <c r="AF80" s="1"/>
  <c r="T73"/>
  <c r="O30"/>
  <c r="N46"/>
  <c r="N30"/>
  <c r="AC83" l="1"/>
  <c r="AC86"/>
  <c r="J35"/>
  <c r="K35" s="1"/>
  <c r="L35" s="1"/>
  <c r="L36" s="1"/>
  <c r="AG80"/>
  <c r="AA76"/>
  <c r="M14" s="1"/>
  <c r="N6" i="5" s="1"/>
  <c r="O35" i="4" l="1"/>
  <c r="O36" s="1"/>
  <c r="N35"/>
  <c r="N36" s="1"/>
  <c r="E6" i="5" s="1"/>
  <c r="Q35" i="4"/>
  <c r="Q36" s="1"/>
  <c r="X73" s="1"/>
  <c r="AD86" s="1"/>
  <c r="AB86" s="1"/>
  <c r="AA86" l="1"/>
  <c r="U73"/>
  <c r="AA80" s="1"/>
  <c r="M33" s="1"/>
  <c r="O6" i="5" s="1"/>
  <c r="H6"/>
  <c r="I6" s="1"/>
  <c r="AD83" i="4"/>
  <c r="O46"/>
  <c r="F6" i="5" s="1"/>
  <c r="AB83" i="4" l="1"/>
  <c r="M39" s="1"/>
  <c r="AA83" l="1"/>
  <c r="P6" i="5"/>
</calcChain>
</file>

<file path=xl/sharedStrings.xml><?xml version="1.0" encoding="utf-8"?>
<sst xmlns="http://schemas.openxmlformats.org/spreadsheetml/2006/main" count="214" uniqueCount="92">
  <si>
    <t>Item Code</t>
  </si>
  <si>
    <t>Product Description</t>
  </si>
  <si>
    <t>Avg. Wt. Per Serving</t>
  </si>
  <si>
    <t>4.13 oz</t>
  </si>
  <si>
    <t>4.06 oz</t>
  </si>
  <si>
    <t>4/1.01 = 4.04 oz</t>
  </si>
  <si>
    <t>10/.30oz = 3 oz</t>
  </si>
  <si>
    <t>5/.60 = 3 oz</t>
  </si>
  <si>
    <t>3.00 oz</t>
  </si>
  <si>
    <t>Cases</t>
  </si>
  <si>
    <t>Total Servings</t>
  </si>
  <si>
    <t>2/1.50 oz = 3 oz</t>
  </si>
  <si>
    <t>White - Dark Formed Product Cases Available</t>
  </si>
  <si>
    <t>Dark Meat Formed Product Cases Available</t>
  </si>
  <si>
    <t>White - Dark Formed Cases</t>
  </si>
  <si>
    <t>Dark Meat Formed Cases</t>
  </si>
  <si>
    <t>White - Dark Meat Formed Chicken Products</t>
  </si>
  <si>
    <t>Dark Meat Only Formed Chicken Products</t>
  </si>
  <si>
    <t>10/.415oz = 4.15 oz</t>
  </si>
  <si>
    <t>White Pounds (Cases)</t>
  </si>
  <si>
    <t>Dark Pounds (Cases)</t>
  </si>
  <si>
    <t>Truly Whole Muscle Chicken Products</t>
  </si>
  <si>
    <t>White Meat Only Chicken Products</t>
  </si>
  <si>
    <t>Made From All White Meat Chicken Products (No Soy / No Fillers)</t>
  </si>
  <si>
    <t>3/1.39 oz = 4.17 oz</t>
  </si>
  <si>
    <t>Total Sevings Provided</t>
  </si>
  <si>
    <t>White Meat Only Product Cases Available</t>
  </si>
  <si>
    <t>Whole Muscle Spicy Breaded  Chicken Breast Fillet</t>
  </si>
  <si>
    <t>Whole Muscle Breaded Chicken Breast Fillet</t>
  </si>
  <si>
    <t>Whole Muscle Breaded Chicken Breast Slider Fillet</t>
  </si>
  <si>
    <t>Whole Muscle Breaded Boneless Chicken Wing/Breast Chunk</t>
  </si>
  <si>
    <t>Whole Muscle Spicy Breaded Boneless Chicken Wing/Breast Chunk</t>
  </si>
  <si>
    <t>Whole Muscle Breaded Chicken Breast Tenderloin</t>
  </si>
  <si>
    <t>Whole Muscle Spicy Breaded Chicken Breast Tenderloin</t>
  </si>
  <si>
    <t>Breaded All White Meat Chicken Tender</t>
  </si>
  <si>
    <t>Breaded All White Meat Chicken Patty</t>
  </si>
  <si>
    <t>Breaded All White Meat Chicken Nugget</t>
  </si>
  <si>
    <t>Spicy Breaded All White Meat Chicken Patty</t>
  </si>
  <si>
    <t>Spicy Breaded All White Meat Chicken Tender</t>
  </si>
  <si>
    <t>Breaded Dark Meat Chicken Popper</t>
  </si>
  <si>
    <t>Breaded W/D Popcorn Chicken</t>
  </si>
  <si>
    <t>Breaded W/D Chicken Nugget</t>
  </si>
  <si>
    <t>Breaded W/D Chicken Slider Patty</t>
  </si>
  <si>
    <t>Breaded W/D Chicken Patty</t>
  </si>
  <si>
    <t>Spicy Breaded W/D Chicken Patty</t>
  </si>
  <si>
    <t>4.07 oz</t>
  </si>
  <si>
    <t>2/1.97 = 3.94 oz</t>
  </si>
  <si>
    <t>4/1.02 = 4.08 oz</t>
  </si>
  <si>
    <t>2/1.97 = 3.97 oz</t>
  </si>
  <si>
    <t>Dark Cases</t>
  </si>
  <si>
    <t>2/1.99 = 3.98 oz</t>
  </si>
  <si>
    <t>5/0.82 oz = 4.10 oz</t>
  </si>
  <si>
    <t>Total DF $ Value</t>
  </si>
  <si>
    <t>DF $ Value Per Case</t>
  </si>
  <si>
    <t>Avg. Servings Per Case</t>
  </si>
  <si>
    <t>DF $ Value</t>
  </si>
  <si>
    <t>Total DF Pounds</t>
  </si>
  <si>
    <t>DF Pounds Dark Per Case</t>
  </si>
  <si>
    <t>DF Pounds White Per Case</t>
  </si>
  <si>
    <t>10.05 lb</t>
  </si>
  <si>
    <t>4.54 lb</t>
  </si>
  <si>
    <t>DF Pounds WHITE</t>
  </si>
  <si>
    <t>Avg. Sv. Per Case</t>
  </si>
  <si>
    <t>DF PoundsWhite Per Case</t>
  </si>
  <si>
    <t>Total DF Pounds White</t>
  </si>
  <si>
    <t>Total DF Pounds    Dark</t>
  </si>
  <si>
    <t>DF Pounds DARK</t>
  </si>
  <si>
    <t>21.28 lb.</t>
  </si>
  <si>
    <t>34.98 lb</t>
  </si>
  <si>
    <t>White Meat Only Cases</t>
  </si>
  <si>
    <t>Column1</t>
  </si>
  <si>
    <t>Servings Needed</t>
  </si>
  <si>
    <t>Servings Rounded to the Nearest Case</t>
  </si>
  <si>
    <t>Cases per Servings</t>
  </si>
  <si>
    <t>Dark Only Discount</t>
  </si>
  <si>
    <t>Servings Dark Pounds Needed</t>
  </si>
  <si>
    <t xml:space="preserve">Dark Servings </t>
  </si>
  <si>
    <t>Dark Servings Rounded to nearest Case</t>
  </si>
  <si>
    <t>Dark Cases Rounded</t>
  </si>
  <si>
    <t>Commercial Price WHITE pounds</t>
  </si>
  <si>
    <t>White - Dark Meat Formed Chicken Products (Only Dark Meat Drawdown)</t>
  </si>
  <si>
    <t>Market Group 2 White</t>
  </si>
  <si>
    <t>Market Group 2 Dark</t>
  </si>
  <si>
    <t>Market Group 1 White</t>
  </si>
  <si>
    <t>Market Group 1 Dark</t>
  </si>
  <si>
    <t>MG2: White Pounds Available</t>
  </si>
  <si>
    <t>MG 2: Dark Pounds Available</t>
  </si>
  <si>
    <t>MG1: White Pounds Available</t>
  </si>
  <si>
    <t>MG1: Dark Pounds Available</t>
  </si>
  <si>
    <t>By Servings</t>
  </si>
  <si>
    <t>Svg. Rounded to the Nearest Case</t>
  </si>
  <si>
    <t>Svg. Rounded by Case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</si>
</sst>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.##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b/>
      <i/>
      <sz val="18"/>
      <color theme="0"/>
      <name val="Century Gothic"/>
      <family val="2"/>
    </font>
    <font>
      <b/>
      <sz val="28"/>
      <color theme="1"/>
      <name val="Century Gothic"/>
      <family val="2"/>
    </font>
    <font>
      <sz val="14"/>
      <color theme="1"/>
      <name val="Calibri"/>
      <family val="2"/>
      <scheme val="minor"/>
    </font>
    <font>
      <b/>
      <i/>
      <sz val="24"/>
      <color theme="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i/>
      <sz val="26"/>
      <color theme="0"/>
      <name val="Calibri"/>
      <family val="2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6"/>
      <name val="Calibri"/>
      <family val="2"/>
    </font>
    <font>
      <sz val="10"/>
      <color theme="1"/>
      <name val="Calibri"/>
      <family val="2"/>
    </font>
    <font>
      <b/>
      <sz val="20"/>
      <name val="Calibri"/>
      <family val="2"/>
      <scheme val="minor"/>
    </font>
    <font>
      <sz val="28"/>
      <name val="Calibri"/>
      <family val="2"/>
      <scheme val="minor"/>
    </font>
    <font>
      <b/>
      <i/>
      <sz val="22"/>
      <color theme="0"/>
      <name val="Calibri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F452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center" vertical="center" wrapText="1"/>
    </xf>
    <xf numFmtId="43" fontId="0" fillId="0" borderId="0" xfId="1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3" fontId="0" fillId="0" borderId="0" xfId="1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Protection="1"/>
    <xf numFmtId="0" fontId="8" fillId="0" borderId="0" xfId="0" applyFont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horizontal="center" vertical="center"/>
    </xf>
    <xf numFmtId="0" fontId="10" fillId="0" borderId="0" xfId="2" applyFont="1" applyFill="1" applyBorder="1" applyProtection="1"/>
    <xf numFmtId="164" fontId="12" fillId="0" borderId="0" xfId="1" applyNumberFormat="1" applyFont="1" applyBorder="1" applyProtection="1"/>
    <xf numFmtId="0" fontId="12" fillId="0" borderId="0" xfId="0" applyFont="1" applyBorder="1" applyProtection="1"/>
    <xf numFmtId="0" fontId="7" fillId="0" borderId="0" xfId="0" applyFont="1" applyAlignment="1" applyProtection="1">
      <alignment horizontal="center" vertical="top"/>
    </xf>
    <xf numFmtId="0" fontId="15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vertical="center"/>
    </xf>
    <xf numFmtId="165" fontId="22" fillId="0" borderId="3" xfId="4" applyNumberFormat="1" applyFont="1" applyFill="1" applyBorder="1" applyAlignment="1" applyProtection="1">
      <alignment horizontal="left" vertical="center"/>
    </xf>
    <xf numFmtId="2" fontId="22" fillId="0" borderId="3" xfId="0" applyNumberFormat="1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vertical="center"/>
    </xf>
    <xf numFmtId="2" fontId="22" fillId="0" borderId="1" xfId="0" applyNumberFormat="1" applyFont="1" applyFill="1" applyBorder="1" applyAlignment="1" applyProtection="1">
      <alignment horizontal="left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vertical="center"/>
    </xf>
    <xf numFmtId="2" fontId="22" fillId="0" borderId="2" xfId="0" applyNumberFormat="1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center"/>
    </xf>
    <xf numFmtId="165" fontId="22" fillId="0" borderId="1" xfId="4" applyNumberFormat="1" applyFont="1" applyBorder="1" applyAlignment="1" applyProtection="1">
      <alignment horizontal="left" vertical="center"/>
    </xf>
    <xf numFmtId="2" fontId="22" fillId="0" borderId="1" xfId="0" applyNumberFormat="1" applyFont="1" applyBorder="1" applyAlignment="1" applyProtection="1">
      <alignment horizontal="left" vertical="center"/>
    </xf>
    <xf numFmtId="0" fontId="22" fillId="0" borderId="1" xfId="2" applyNumberFormat="1" applyFont="1" applyBorder="1" applyAlignment="1" applyProtection="1">
      <alignment horizontal="center" vertical="center"/>
    </xf>
    <xf numFmtId="164" fontId="22" fillId="7" borderId="1" xfId="1" applyNumberFormat="1" applyFont="1" applyFill="1" applyBorder="1" applyAlignment="1" applyProtection="1">
      <alignment horizontal="center" vertical="center"/>
    </xf>
    <xf numFmtId="44" fontId="22" fillId="7" borderId="1" xfId="4" applyFont="1" applyFill="1" applyBorder="1" applyAlignment="1" applyProtection="1">
      <alignment horizontal="center" vertical="center"/>
    </xf>
    <xf numFmtId="164" fontId="22" fillId="7" borderId="1" xfId="0" applyNumberFormat="1" applyFont="1" applyFill="1" applyBorder="1" applyAlignment="1" applyProtection="1">
      <alignment horizontal="center" vertical="center"/>
    </xf>
    <xf numFmtId="2" fontId="5" fillId="7" borderId="0" xfId="0" applyNumberFormat="1" applyFont="1" applyFill="1" applyBorder="1" applyAlignment="1" applyProtection="1">
      <alignment horizontal="center" vertical="center"/>
    </xf>
    <xf numFmtId="0" fontId="0" fillId="7" borderId="0" xfId="0" applyFill="1" applyProtection="1"/>
    <xf numFmtId="43" fontId="0" fillId="0" borderId="0" xfId="1" applyFont="1" applyAlignment="1" applyProtection="1">
      <alignment horizontal="center" vertical="center"/>
    </xf>
    <xf numFmtId="1" fontId="14" fillId="6" borderId="0" xfId="0" applyNumberFormat="1" applyFont="1" applyFill="1" applyBorder="1" applyAlignment="1" applyProtection="1">
      <alignment horizontal="center" vertical="center"/>
    </xf>
    <xf numFmtId="1" fontId="14" fillId="6" borderId="0" xfId="0" applyNumberFormat="1" applyFont="1" applyFill="1" applyBorder="1" applyAlignment="1" applyProtection="1">
      <alignment vertical="center"/>
    </xf>
    <xf numFmtId="43" fontId="22" fillId="0" borderId="1" xfId="1" applyFont="1" applyBorder="1" applyAlignment="1" applyProtection="1">
      <alignment horizontal="left" vertical="center"/>
    </xf>
    <xf numFmtId="43" fontId="22" fillId="0" borderId="1" xfId="1" applyFont="1" applyBorder="1" applyProtection="1"/>
    <xf numFmtId="43" fontId="22" fillId="0" borderId="1" xfId="0" applyNumberFormat="1" applyFont="1" applyBorder="1" applyProtection="1"/>
    <xf numFmtId="1" fontId="14" fillId="3" borderId="0" xfId="0" applyNumberFormat="1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Alignment="1" applyProtection="1">
      <alignment vertical="center"/>
    </xf>
    <xf numFmtId="1" fontId="14" fillId="5" borderId="0" xfId="0" applyNumberFormat="1" applyFont="1" applyFill="1" applyBorder="1" applyAlignment="1" applyProtection="1">
      <alignment horizontal="center" vertical="center"/>
    </xf>
    <xf numFmtId="43" fontId="22" fillId="0" borderId="3" xfId="1" applyFont="1" applyFill="1" applyBorder="1" applyAlignment="1" applyProtection="1">
      <alignment horizontal="left" vertical="center"/>
    </xf>
    <xf numFmtId="165" fontId="22" fillId="0" borderId="1" xfId="4" applyNumberFormat="1" applyFont="1" applyFill="1" applyBorder="1" applyAlignment="1" applyProtection="1">
      <alignment horizontal="left" vertical="center"/>
    </xf>
    <xf numFmtId="43" fontId="22" fillId="0" borderId="1" xfId="1" applyFont="1" applyFill="1" applyBorder="1" applyAlignment="1" applyProtection="1">
      <alignment horizontal="left" vertical="center"/>
    </xf>
    <xf numFmtId="0" fontId="22" fillId="0" borderId="1" xfId="2" applyFont="1" applyFill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horizontal="center"/>
    </xf>
    <xf numFmtId="1" fontId="22" fillId="0" borderId="3" xfId="2" applyNumberFormat="1" applyFont="1" applyFill="1" applyBorder="1" applyAlignment="1" applyProtection="1">
      <alignment horizontal="center" vertical="center"/>
    </xf>
    <xf numFmtId="164" fontId="22" fillId="7" borderId="3" xfId="1" applyNumberFormat="1" applyFont="1" applyFill="1" applyBorder="1" applyAlignment="1" applyProtection="1">
      <alignment vertical="center"/>
    </xf>
    <xf numFmtId="44" fontId="22" fillId="7" borderId="3" xfId="4" applyFont="1" applyFill="1" applyBorder="1" applyAlignment="1" applyProtection="1">
      <alignment horizontal="center" vertical="center"/>
    </xf>
    <xf numFmtId="43" fontId="24" fillId="0" borderId="3" xfId="1" applyFont="1" applyBorder="1" applyProtection="1"/>
    <xf numFmtId="0" fontId="21" fillId="4" borderId="10" xfId="0" applyFont="1" applyFill="1" applyBorder="1" applyAlignment="1" applyProtection="1">
      <alignment horizontal="left" vertical="center"/>
    </xf>
    <xf numFmtId="0" fontId="22" fillId="4" borderId="13" xfId="0" applyFont="1" applyFill="1" applyBorder="1" applyAlignment="1" applyProtection="1">
      <alignment vertical="center"/>
    </xf>
    <xf numFmtId="2" fontId="22" fillId="4" borderId="13" xfId="0" applyNumberFormat="1" applyFont="1" applyFill="1" applyBorder="1" applyAlignment="1" applyProtection="1">
      <alignment horizontal="left" vertical="center"/>
    </xf>
    <xf numFmtId="0" fontId="22" fillId="4" borderId="13" xfId="2" applyFont="1" applyFill="1" applyBorder="1" applyAlignment="1" applyProtection="1">
      <alignment horizontal="center"/>
    </xf>
    <xf numFmtId="0" fontId="23" fillId="4" borderId="13" xfId="0" applyFont="1" applyFill="1" applyBorder="1" applyAlignment="1" applyProtection="1">
      <alignment horizontal="center" vertical="center" wrapText="1"/>
    </xf>
    <xf numFmtId="43" fontId="23" fillId="4" borderId="13" xfId="1" applyFont="1" applyFill="1" applyBorder="1" applyAlignment="1" applyProtection="1">
      <alignment horizontal="left" vertical="center" wrapText="1"/>
    </xf>
    <xf numFmtId="43" fontId="23" fillId="4" borderId="13" xfId="1" applyFont="1" applyFill="1" applyBorder="1" applyAlignment="1" applyProtection="1">
      <alignment horizontal="center" vertical="center" wrapText="1"/>
    </xf>
    <xf numFmtId="43" fontId="23" fillId="4" borderId="11" xfId="1" applyFont="1" applyFill="1" applyBorder="1" applyAlignment="1" applyProtection="1">
      <alignment horizontal="center" vertical="center" wrapText="1"/>
    </xf>
    <xf numFmtId="165" fontId="22" fillId="0" borderId="2" xfId="4" applyNumberFormat="1" applyFont="1" applyFill="1" applyBorder="1" applyAlignment="1" applyProtection="1">
      <alignment horizontal="left" vertical="center"/>
    </xf>
    <xf numFmtId="43" fontId="22" fillId="0" borderId="2" xfId="1" applyFont="1" applyFill="1" applyBorder="1" applyAlignment="1" applyProtection="1">
      <alignment horizontal="left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3" xfId="2" applyFont="1" applyFill="1" applyBorder="1" applyAlignment="1" applyProtection="1">
      <alignment horizontal="center"/>
    </xf>
    <xf numFmtId="0" fontId="21" fillId="4" borderId="13" xfId="0" applyFont="1" applyFill="1" applyBorder="1" applyAlignment="1" applyProtection="1">
      <alignment vertical="center"/>
    </xf>
    <xf numFmtId="2" fontId="21" fillId="4" borderId="13" xfId="0" applyNumberFormat="1" applyFont="1" applyFill="1" applyBorder="1" applyAlignment="1" applyProtection="1">
      <alignment horizontal="left" vertical="center"/>
    </xf>
    <xf numFmtId="0" fontId="21" fillId="4" borderId="13" xfId="2" applyFont="1" applyFill="1" applyBorder="1" applyAlignment="1" applyProtection="1">
      <alignment horizontal="center"/>
    </xf>
    <xf numFmtId="1" fontId="21" fillId="4" borderId="13" xfId="0" applyNumberFormat="1" applyFont="1" applyFill="1" applyBorder="1" applyAlignment="1" applyProtection="1">
      <alignment horizontal="center" vertical="center"/>
    </xf>
    <xf numFmtId="43" fontId="21" fillId="4" borderId="13" xfId="1" applyFont="1" applyFill="1" applyBorder="1" applyAlignment="1" applyProtection="1">
      <alignment horizontal="left" vertical="center"/>
    </xf>
    <xf numFmtId="1" fontId="21" fillId="4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2" fontId="22" fillId="0" borderId="0" xfId="0" applyNumberFormat="1" applyFont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44" fontId="22" fillId="7" borderId="1" xfId="0" applyNumberFormat="1" applyFont="1" applyFill="1" applyBorder="1" applyProtection="1"/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2" fontId="22" fillId="0" borderId="0" xfId="0" applyNumberFormat="1" applyFont="1" applyFill="1" applyBorder="1" applyAlignment="1" applyProtection="1">
      <alignment horizontal="left" vertical="center"/>
    </xf>
    <xf numFmtId="44" fontId="24" fillId="7" borderId="1" xfId="0" applyNumberFormat="1" applyFont="1" applyFill="1" applyBorder="1" applyProtection="1"/>
    <xf numFmtId="43" fontId="24" fillId="0" borderId="1" xfId="0" applyNumberFormat="1" applyFont="1" applyBorder="1" applyProtection="1"/>
    <xf numFmtId="0" fontId="26" fillId="0" borderId="1" xfId="0" applyFont="1" applyBorder="1" applyProtection="1"/>
    <xf numFmtId="1" fontId="22" fillId="0" borderId="3" xfId="0" applyNumberFormat="1" applyFont="1" applyBorder="1" applyAlignment="1" applyProtection="1">
      <alignment horizontal="center" vertical="center"/>
    </xf>
    <xf numFmtId="164" fontId="22" fillId="7" borderId="3" xfId="0" applyNumberFormat="1" applyFont="1" applyFill="1" applyBorder="1" applyAlignment="1" applyProtection="1">
      <alignment horizontal="center" vertical="center"/>
    </xf>
    <xf numFmtId="44" fontId="22" fillId="7" borderId="3" xfId="0" applyNumberFormat="1" applyFont="1" applyFill="1" applyBorder="1" applyProtection="1"/>
    <xf numFmtId="43" fontId="22" fillId="0" borderId="3" xfId="0" applyNumberFormat="1" applyFont="1" applyBorder="1" applyProtection="1"/>
    <xf numFmtId="0" fontId="18" fillId="5" borderId="1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left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1" fontId="29" fillId="5" borderId="0" xfId="0" applyNumberFormat="1" applyFont="1" applyFill="1" applyBorder="1" applyAlignment="1" applyProtection="1">
      <alignment horizontal="left" vertical="center"/>
    </xf>
    <xf numFmtId="1" fontId="22" fillId="0" borderId="1" xfId="0" applyNumberFormat="1" applyFont="1" applyFill="1" applyBorder="1" applyAlignment="1" applyProtection="1">
      <alignment horizontal="center" vertical="center"/>
    </xf>
    <xf numFmtId="1" fontId="22" fillId="0" borderId="1" xfId="0" applyNumberFormat="1" applyFont="1" applyFill="1" applyBorder="1" applyAlignment="1" applyProtection="1">
      <alignment horizontal="center" vertical="center" wrapText="1"/>
    </xf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" xfId="0" applyFont="1" applyFill="1" applyBorder="1" applyAlignment="1" applyProtection="1">
      <alignment horizontal="left" vertical="center" wrapText="1"/>
    </xf>
    <xf numFmtId="1" fontId="22" fillId="4" borderId="13" xfId="2" applyNumberFormat="1" applyFont="1" applyFill="1" applyBorder="1" applyAlignment="1" applyProtection="1">
      <alignment horizontal="center"/>
    </xf>
    <xf numFmtId="1" fontId="21" fillId="4" borderId="13" xfId="2" applyNumberFormat="1" applyFont="1" applyFill="1" applyBorder="1" applyAlignment="1" applyProtection="1">
      <alignment horizontal="center"/>
    </xf>
    <xf numFmtId="3" fontId="22" fillId="2" borderId="3" xfId="1" applyNumberFormat="1" applyFont="1" applyFill="1" applyBorder="1" applyAlignment="1" applyProtection="1">
      <alignment horizontal="center" vertical="center"/>
      <protection locked="0"/>
    </xf>
    <xf numFmtId="3" fontId="22" fillId="2" borderId="1" xfId="1" applyNumberFormat="1" applyFont="1" applyFill="1" applyBorder="1" applyAlignment="1" applyProtection="1">
      <alignment horizontal="center" vertical="center"/>
      <protection locked="0"/>
    </xf>
    <xf numFmtId="3" fontId="22" fillId="2" borderId="2" xfId="1" applyNumberFormat="1" applyFont="1" applyFill="1" applyBorder="1" applyAlignment="1" applyProtection="1">
      <alignment horizontal="center" vertical="center"/>
      <protection locked="0"/>
    </xf>
    <xf numFmtId="3" fontId="22" fillId="2" borderId="3" xfId="1" applyNumberFormat="1" applyFont="1" applyFill="1" applyBorder="1" applyAlignment="1" applyProtection="1">
      <alignment horizontal="center"/>
      <protection locked="0"/>
    </xf>
    <xf numFmtId="3" fontId="22" fillId="2" borderId="1" xfId="1" applyNumberFormat="1" applyFont="1" applyFill="1" applyBorder="1" applyAlignment="1" applyProtection="1">
      <alignment horizontal="center"/>
      <protection locked="0"/>
    </xf>
    <xf numFmtId="3" fontId="22" fillId="2" borderId="1" xfId="1" applyNumberFormat="1" applyFont="1" applyFill="1" applyBorder="1" applyAlignment="1" applyProtection="1">
      <alignment horizontal="center" vertical="center"/>
    </xf>
    <xf numFmtId="3" fontId="22" fillId="0" borderId="3" xfId="1" applyNumberFormat="1" applyFont="1" applyFill="1" applyBorder="1" applyAlignment="1" applyProtection="1">
      <alignment horizontal="center" vertical="center"/>
    </xf>
    <xf numFmtId="3" fontId="22" fillId="0" borderId="1" xfId="1" applyNumberFormat="1" applyFont="1" applyFill="1" applyBorder="1" applyAlignment="1" applyProtection="1">
      <alignment horizontal="center" vertical="center"/>
    </xf>
    <xf numFmtId="3" fontId="22" fillId="0" borderId="2" xfId="1" applyNumberFormat="1" applyFont="1" applyFill="1" applyBorder="1" applyAlignment="1" applyProtection="1">
      <alignment horizontal="center" vertical="center"/>
    </xf>
    <xf numFmtId="3" fontId="22" fillId="0" borderId="3" xfId="1" applyNumberFormat="1" applyFont="1" applyFill="1" applyBorder="1" applyAlignment="1" applyProtection="1">
      <alignment horizontal="center"/>
    </xf>
    <xf numFmtId="3" fontId="22" fillId="0" borderId="1" xfId="1" applyNumberFormat="1" applyFont="1" applyFill="1" applyBorder="1" applyAlignment="1" applyProtection="1">
      <alignment horizontal="center"/>
    </xf>
    <xf numFmtId="3" fontId="22" fillId="0" borderId="1" xfId="2" applyNumberFormat="1" applyFont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</xf>
    <xf numFmtId="43" fontId="24" fillId="0" borderId="3" xfId="1" applyNumberFormat="1" applyFont="1" applyBorder="1" applyProtection="1"/>
    <xf numFmtId="0" fontId="18" fillId="9" borderId="1" xfId="0" applyFont="1" applyFill="1" applyBorder="1" applyAlignment="1" applyProtection="1">
      <alignment horizontal="center" vertical="center" wrapText="1"/>
    </xf>
    <xf numFmtId="0" fontId="18" fillId="9" borderId="1" xfId="0" applyFont="1" applyFill="1" applyBorder="1" applyAlignment="1" applyProtection="1">
      <alignment horizontal="left" vertical="center" wrapText="1"/>
    </xf>
    <xf numFmtId="3" fontId="22" fillId="0" borderId="1" xfId="2" applyNumberFormat="1" applyFont="1" applyFill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wrapText="1"/>
    </xf>
    <xf numFmtId="43" fontId="0" fillId="0" borderId="18" xfId="1" applyFont="1" applyBorder="1" applyAlignment="1" applyProtection="1">
      <alignment horizontal="center" vertical="center" wrapText="1"/>
    </xf>
    <xf numFmtId="43" fontId="0" fillId="0" borderId="17" xfId="1" applyFont="1" applyBorder="1" applyAlignment="1" applyProtection="1">
      <alignment horizontal="center" vertical="center" wrapText="1"/>
    </xf>
    <xf numFmtId="43" fontId="0" fillId="0" borderId="18" xfId="1" applyFont="1" applyBorder="1" applyAlignment="1" applyProtection="1">
      <alignment horizontal="center" vertical="center"/>
    </xf>
    <xf numFmtId="43" fontId="0" fillId="0" borderId="0" xfId="1" applyNumberFormat="1" applyFont="1" applyFill="1" applyBorder="1" applyAlignment="1" applyProtection="1">
      <alignment horizontal="center" vertical="center" wrapText="1"/>
    </xf>
    <xf numFmtId="43" fontId="0" fillId="0" borderId="0" xfId="1" applyNumberFormat="1" applyFont="1" applyBorder="1" applyAlignment="1" applyProtection="1">
      <alignment horizontal="center" vertical="center" wrapText="1"/>
    </xf>
    <xf numFmtId="0" fontId="29" fillId="5" borderId="12" xfId="0" applyFont="1" applyFill="1" applyBorder="1" applyAlignment="1" applyProtection="1">
      <alignment vertical="center" wrapText="1"/>
    </xf>
    <xf numFmtId="0" fontId="29" fillId="3" borderId="12" xfId="0" applyFont="1" applyFill="1" applyBorder="1" applyAlignment="1" applyProtection="1">
      <alignment vertical="center" wrapText="1"/>
    </xf>
    <xf numFmtId="0" fontId="29" fillId="6" borderId="12" xfId="0" applyFont="1" applyFill="1" applyBorder="1" applyAlignment="1" applyProtection="1">
      <alignment vertical="center" wrapText="1"/>
    </xf>
    <xf numFmtId="0" fontId="29" fillId="6" borderId="12" xfId="0" applyFont="1" applyFill="1" applyBorder="1" applyAlignment="1" applyProtection="1">
      <alignment horizontal="right" vertical="center"/>
    </xf>
    <xf numFmtId="0" fontId="29" fillId="3" borderId="12" xfId="0" applyFont="1" applyFill="1" applyBorder="1" applyAlignment="1" applyProtection="1">
      <alignment horizontal="right" vertical="center"/>
    </xf>
    <xf numFmtId="0" fontId="29" fillId="5" borderId="12" xfId="0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164" fontId="20" fillId="0" borderId="14" xfId="1" applyNumberFormat="1" applyFont="1" applyBorder="1" applyAlignment="1">
      <alignment horizontal="center" wrapText="1"/>
    </xf>
    <xf numFmtId="44" fontId="20" fillId="0" borderId="15" xfId="4" applyNumberFormat="1" applyFont="1" applyBorder="1" applyAlignment="1">
      <alignment horizontal="center" wrapText="1"/>
    </xf>
    <xf numFmtId="164" fontId="20" fillId="0" borderId="15" xfId="1" applyNumberFormat="1" applyFont="1" applyBorder="1" applyAlignment="1">
      <alignment horizontal="center" wrapText="1"/>
    </xf>
    <xf numFmtId="164" fontId="20" fillId="0" borderId="16" xfId="1" applyNumberFormat="1" applyFont="1" applyBorder="1" applyAlignment="1">
      <alignment horizont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22" fillId="2" borderId="3" xfId="0" applyNumberFormat="1" applyFont="1" applyFill="1" applyBorder="1" applyAlignment="1" applyProtection="1">
      <alignment horizontal="center" vertical="center"/>
      <protection locked="0"/>
    </xf>
    <xf numFmtId="3" fontId="22" fillId="2" borderId="1" xfId="0" applyNumberFormat="1" applyFont="1" applyFill="1" applyBorder="1" applyAlignment="1" applyProtection="1">
      <alignment horizontal="center" vertical="center"/>
      <protection locked="0"/>
    </xf>
    <xf numFmtId="3" fontId="22" fillId="2" borderId="2" xfId="0" applyNumberFormat="1" applyFont="1" applyFill="1" applyBorder="1" applyAlignment="1" applyProtection="1">
      <alignment horizontal="center" vertical="center"/>
      <protection locked="0"/>
    </xf>
    <xf numFmtId="3" fontId="24" fillId="2" borderId="3" xfId="0" applyNumberFormat="1" applyFont="1" applyFill="1" applyBorder="1" applyAlignment="1" applyProtection="1">
      <alignment horizontal="center"/>
      <protection locked="0"/>
    </xf>
    <xf numFmtId="3" fontId="24" fillId="2" borderId="1" xfId="0" applyNumberFormat="1" applyFont="1" applyFill="1" applyBorder="1" applyAlignment="1" applyProtection="1">
      <alignment horizontal="center"/>
      <protection locked="0"/>
    </xf>
    <xf numFmtId="3" fontId="22" fillId="0" borderId="1" xfId="0" applyNumberFormat="1" applyFont="1" applyBorder="1" applyAlignment="1" applyProtection="1">
      <alignment horizontal="center" vertical="center"/>
    </xf>
    <xf numFmtId="3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" xfId="0" applyNumberFormat="1" applyFont="1" applyBorder="1" applyAlignment="1" applyProtection="1">
      <alignment horizontal="center" vertical="center"/>
    </xf>
    <xf numFmtId="0" fontId="9" fillId="9" borderId="12" xfId="0" applyFont="1" applyFill="1" applyBorder="1" applyAlignment="1" applyProtection="1">
      <alignment horizontal="center" vertical="center"/>
    </xf>
    <xf numFmtId="0" fontId="9" fillId="8" borderId="12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wrapText="1"/>
    </xf>
    <xf numFmtId="3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urrency" xfId="4" builtinId="4"/>
    <cellStyle name="Normal" xfId="0" builtinId="0"/>
    <cellStyle name="Normal 2" xfId="3"/>
    <cellStyle name="Normal_Alternate Order Forms 15-16" xfId="2"/>
  </cellStyles>
  <dxfs count="237">
    <dxf>
      <alignment horizontal="center" vertical="center" textRotation="0" wrapText="1" indent="0" relativeIndent="255" justifyLastLine="0" shrinkToFit="0" readingOrder="0"/>
      <border>
        <right style="thin">
          <color indexed="64"/>
        </right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alignment horizontal="left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alignment horizontal="left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none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2" formatCode="0.00"/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alignment horizontal="center"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0" indent="0" relativeIndent="255" justifyLastLine="0" shrinkToFit="0" readingOrder="0"/>
      <protection locked="0" hidden="0"/>
    </dxf>
    <dxf>
      <alignment horizontal="center" vertical="center" textRotation="0" wrapText="1" indent="0" relativeIndent="255" justifyLastLine="0" shrinkToFit="0" readingOrder="0"/>
      <protection locked="1" hidden="0"/>
    </dxf>
    <dxf>
      <protection locked="0" hidden="0"/>
    </dxf>
    <dxf>
      <protection locked="0" hidden="0"/>
    </dxf>
    <dxf>
      <alignment horizontal="general" vertical="bottom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none"/>
      </font>
      <fill>
        <patternFill patternType="solid">
          <fgColor indexed="64"/>
          <bgColor rgb="FFCF452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none"/>
      </font>
      <fill>
        <patternFill patternType="solid">
          <fgColor indexed="64"/>
          <bgColor rgb="FFEAAA0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alignment horizont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&quot;$&quot;#.##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none"/>
      </font>
      <fill>
        <patternFill patternType="solid">
          <fgColor indexed="64"/>
          <bgColor rgb="FFCC660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numFmt numFmtId="35" formatCode="_(* #,##0.00_);_(* \(#,##0.00\);_(* &quot;-&quot;??_);_(@_)"/>
      <alignment horizontal="center" vertical="center" textRotation="0" wrapText="1" indent="0" relativeIndent="255" justifyLastLine="0" shrinkToFit="0" readingOrder="0"/>
      <protection locked="1" hidden="0"/>
    </dxf>
    <dxf>
      <numFmt numFmtId="35" formatCode="_(* #,##0.00_);_(* \(#,##0.00\);_(* &quot;-&quot;??_);_(@_)"/>
      <alignment horizontal="center" vertical="center" textRotation="0" wrapText="1" indent="0" relativeIndent="255" justifyLastLine="0" shrinkToFit="0" readingOrder="0"/>
      <protection locked="1" hidden="0"/>
    </dxf>
    <dxf>
      <fill>
        <patternFill patternType="solid">
          <fgColor indexed="64"/>
          <bgColor rgb="FFCF4520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border>
        <right style="thin">
          <color indexed="64"/>
        </right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CC6600"/>
      <color rgb="FFFF5B5B"/>
      <color rgb="FF623412"/>
      <color rgb="FFF39619"/>
      <color rgb="FFEAAA00"/>
      <color rgb="FFEA8F76"/>
      <color rgb="FFCF4520"/>
      <color rgb="FFECBC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898074</xdr:colOff>
      <xdr:row>1</xdr:row>
      <xdr:rowOff>0</xdr:rowOff>
    </xdr:from>
    <xdr:to>
      <xdr:col>3</xdr:col>
      <xdr:colOff>3524252</xdr:colOff>
      <xdr:row>5</xdr:row>
      <xdr:rowOff>176389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10395" y="190500"/>
          <a:ext cx="3537857" cy="1414639"/>
        </a:xfrm>
        <a:prstGeom prst="rect">
          <a:avLst/>
        </a:prstGeom>
      </xdr:spPr>
    </xdr:pic>
    <xdr:clientData/>
  </xdr:twoCellAnchor>
  <xdr:twoCellAnchor editAs="absolute">
    <xdr:from>
      <xdr:col>2</xdr:col>
      <xdr:colOff>779321</xdr:colOff>
      <xdr:row>5</xdr:row>
      <xdr:rowOff>122464</xdr:rowOff>
    </xdr:from>
    <xdr:to>
      <xdr:col>3</xdr:col>
      <xdr:colOff>3728359</xdr:colOff>
      <xdr:row>49</xdr:row>
      <xdr:rowOff>95252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391642" y="1551214"/>
          <a:ext cx="3860717" cy="925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/>
            <a:t>Commodity Calculator</a:t>
          </a:r>
        </a:p>
        <a:p>
          <a:pPr algn="ctr"/>
          <a:r>
            <a:rPr lang="en-US" sz="2400" b="1"/>
            <a:t>SY 2019 - 2020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2" displayName="Table2" ref="T69:U70" totalsRowShown="0" headerRowDxfId="235" dataDxfId="233" headerRowBorderDxfId="234" tableBorderDxfId="232" totalsRowBorderDxfId="231">
  <autoFilter ref="T69:U70">
    <filterColumn colId="0" hiddenButton="1"/>
    <filterColumn colId="1" hiddenButton="1"/>
  </autoFilter>
  <tableColumns count="2">
    <tableColumn id="1" name="Market Group 1 White" dataDxfId="230" dataCellStyle="Comma">
      <calculatedColumnFormula>C9*0.6891</calculatedColumnFormula>
    </tableColumn>
    <tableColumn id="2" name="Market Group 1 Dark" dataDxfId="229" dataCellStyle="Comma">
      <calculatedColumnFormula>C9*0.3109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7" name="Table19" displayName="Table19" ref="AA72:AA73" totalsRowShown="0" headerRowDxfId="104" dataDxfId="103">
  <autoFilter ref="AA72:AA73">
    <filterColumn colId="0" hiddenButton="1"/>
  </autoFilter>
  <tableColumns count="1">
    <tableColumn id="1" name="Dark Only Discount" dataDxfId="102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19" name="Table20" displayName="Table20" ref="AC79:AG80" totalsRowShown="0" headerRowDxfId="101" dataDxfId="99" headerRowBorderDxfId="100" tableBorderDxfId="98" totalsRowBorderDxfId="97">
  <autoFilter ref="AC79:AG8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rvings Dark Pounds Needed" dataDxfId="96">
      <calculatedColumnFormula>(Table419[[#Totals],[DF Pounds WHITE]]*0.3109)/0.6891</calculatedColumnFormula>
    </tableColumn>
    <tableColumn id="2" name="Dark Cases" dataDxfId="95">
      <calculatedColumnFormula>AC80/34.98</calculatedColumnFormula>
    </tableColumn>
    <tableColumn id="3" name="Dark Servings " dataDxfId="94">
      <calculatedColumnFormula>AD80*77</calculatedColumnFormula>
    </tableColumn>
    <tableColumn id="4" name="Dark Servings Rounded to nearest Case" dataDxfId="93">
      <calculatedColumnFormula>MROUND(AE80,77)</calculatedColumnFormula>
    </tableColumn>
    <tableColumn id="5" name="Dark Cases Rounded" dataDxfId="92">
      <calculatedColumnFormula>AF80/77</calculatedColumnFormula>
    </tableColumn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21" name="Table5202122" displayName="Table5202122" ref="T61:AH67" totalsRowCount="1" headerRowDxfId="91" dataDxfId="89" totalsRowDxfId="87" headerRowBorderDxfId="90" tableBorderDxfId="88" totalsRowBorderDxfId="86">
  <autoFilter ref="T61:AH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Item Code" dataDxfId="85" totalsRowDxfId="84"/>
    <tableColumn id="2" name="Product Description" dataDxfId="83" totalsRowDxfId="82"/>
    <tableColumn id="8" name="DF $ Value Per Case" dataDxfId="81" totalsRowDxfId="80"/>
    <tableColumn id="11" name="DF Pounds White Per Case" dataDxfId="79" totalsRowDxfId="78" dataCellStyle="Currency"/>
    <tableColumn id="10" name="DF Pounds Dark Per Case" dataDxfId="77" totalsRowDxfId="76" dataCellStyle="Currency"/>
    <tableColumn id="3" name="Avg. Wt. Per Serving" dataDxfId="75" totalsRowDxfId="74"/>
    <tableColumn id="4" name="Avg. Sv. Per Case" dataDxfId="73" totalsRowDxfId="72" dataCellStyle="Normal_Alternate Order Forms 15-16"/>
    <tableColumn id="15" name="Servings Needed" dataDxfId="71" totalsRowDxfId="70" dataCellStyle="Comma">
      <calculatedColumnFormula>J41</calculatedColumnFormula>
    </tableColumn>
    <tableColumn id="14" name="Servings Rounded to the Nearest Case" dataDxfId="69" totalsRowDxfId="68" dataCellStyle="Normal_Alternate Order Forms 15-16">
      <calculatedColumnFormula>MROUND(Table5202122[[#This Row],[Servings Needed]],107)</calculatedColumnFormula>
    </tableColumn>
    <tableColumn id="12" name="Cases per Servings" totalsRowFunction="custom" dataDxfId="67" totalsRowDxfId="66" dataCellStyle="Normal_Alternate Order Forms 15-16">
      <calculatedColumnFormula>Table5202122[[#This Row],[Servings Rounded to the Nearest Case]]/Table5202122[[#This Row],[Avg. Sv. Per Case]]</calculatedColumnFormula>
      <totalsRowFormula>SUM([Cases per Servings])</totalsRowFormula>
    </tableColumn>
    <tableColumn id="6" name="Cases" totalsRowFunction="custom" dataDxfId="65" totalsRowDxfId="64">
      <calculatedColumnFormula>IF(Table18[By Servings]=1,L41,M41)</calculatedColumnFormula>
      <totalsRowFormula>SUM([Cases])</totalsRowFormula>
    </tableColumn>
    <tableColumn id="5" name="Total Servings" totalsRowFunction="custom" dataDxfId="63" totalsRowDxfId="62" dataCellStyle="Comma">
      <calculatedColumnFormula>IF(Table18[By Servings]=1,Table5202122[[#This Row],[Cases per Servings]]*107,AD62*107)</calculatedColumnFormula>
      <totalsRowFormula>SUM([Total Servings])</totalsRowFormula>
    </tableColumn>
    <tableColumn id="7" name="DF $ Value" totalsRowFunction="sum" dataDxfId="61" totalsRowDxfId="60" dataCellStyle="Currency">
      <calculatedColumnFormula>IF(Table18[By Servings]=1,Table5202122[[#This Row],[Cases per Servings]]*13.63,Table5202122[[#This Row],[Cases]]*13.63)</calculatedColumnFormula>
    </tableColumn>
    <tableColumn id="9" name="DF Pounds WHITE" totalsRowFunction="custom" dataDxfId="59" totalsRowDxfId="58" dataCellStyle="Comma">
      <calculatedColumnFormula>IF(Table18[By Servings]=1,Table5202122[[#This Row],[Cases per Servings]]*10.05,Table5202122[[#This Row],[Cases]]*10.05)</calculatedColumnFormula>
      <totalsRowFormula>SUM([DF Pounds WHITE])</totalsRowFormula>
    </tableColumn>
    <tableColumn id="13" name="DF Pounds DARK" totalsRowFunction="custom" dataDxfId="57" totalsRowDxfId="56" dataCellStyle="Comma">
      <calculatedColumnFormula>IF(Table18[By Servings]=1,Table5202122[[#This Row],[Cases per Servings]]*4.54,Table5202122[[#This Row],[Cases]]*4.54)</calculatedColumnFormula>
      <totalsRowFormula>SUM([DF Pounds DARK])</totalsRow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2" name="Table223" displayName="Table223" ref="W69:X70" totalsRowShown="0" headerRowDxfId="55" dataDxfId="53" headerRowBorderDxfId="54" tableBorderDxfId="52" totalsRowBorderDxfId="51">
  <autoFilter ref="W69:X70">
    <filterColumn colId="0" hiddenButton="1"/>
    <filterColumn colId="1" hiddenButton="1"/>
  </autoFilter>
  <tableColumns count="2">
    <tableColumn id="1" name="Market Group 2 White" dataDxfId="50" dataCellStyle="Comma">
      <calculatedColumnFormula>C9*0.689</calculatedColumnFormula>
    </tableColumn>
    <tableColumn id="2" name="Market Group 2 Dark" dataDxfId="49" dataCellStyle="Comma">
      <calculatedColumnFormula>C9*0.3112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23" name="Table2224" displayName="Table2224" ref="W72:X73" totalsRowShown="0" headerRowDxfId="48" dataDxfId="46" headerRowBorderDxfId="47" tableBorderDxfId="45" totalsRowBorderDxfId="44" dataCellStyle="Comma">
  <autoFilter ref="W72:X73">
    <filterColumn colId="0" hiddenButton="1"/>
    <filterColumn colId="1" hiddenButton="1"/>
  </autoFilter>
  <tableColumns count="2">
    <tableColumn id="1" name="MG2: White Pounds Available" dataDxfId="43" dataCellStyle="Comma">
      <calculatedColumnFormula>Table223[Market Group 2 White]-((Table419[[#Totals],[DF Pounds WHITE]])+(Table520[[#Totals],[DF Pounds WHITE]]))</calculatedColumnFormula>
    </tableColumn>
    <tableColumn id="2" name="MG 2: Dark Pounds Available" dataDxfId="42" dataCellStyle="Comma">
      <calculatedColumnFormula>Table223[Market Group 2 Dark]-((Table52022[[#Totals],[DF Pounds DARK]])+(Table520[[#Totals],[DF Pounds DARK]]))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0" name="Table52021" displayName="Table52021" ref="T52:AH58" totalsRowCount="1" headerRowDxfId="41" dataDxfId="39" totalsRowDxfId="37" headerRowBorderDxfId="40" tableBorderDxfId="38" totalsRowBorderDxfId="36">
  <autoFilter ref="T52:AH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Item Code" dataDxfId="35" totalsRowDxfId="34"/>
    <tableColumn id="2" name="Product Description" dataDxfId="33" totalsRowDxfId="32"/>
    <tableColumn id="8" name="DF $ Value Per Case" dataDxfId="31" totalsRowDxfId="30"/>
    <tableColumn id="11" name="DF Pounds White Per Case" dataDxfId="29" totalsRowDxfId="28" dataCellStyle="Currency"/>
    <tableColumn id="10" name="DF Pounds Dark Per Case" dataDxfId="27" totalsRowDxfId="26" dataCellStyle="Currency"/>
    <tableColumn id="3" name="Avg. Wt. Per Serving" dataDxfId="25" totalsRowDxfId="24"/>
    <tableColumn id="4" name="Avg. Sv. Per Case" dataDxfId="23" totalsRowDxfId="22" dataCellStyle="Normal_Alternate Order Forms 15-16"/>
    <tableColumn id="15" name="Servings Needed" dataDxfId="21" totalsRowDxfId="20" dataCellStyle="Comma">
      <calculatedColumnFormula>J41</calculatedColumnFormula>
    </tableColumn>
    <tableColumn id="14" name="Servings Rounded to the Nearest Case" dataDxfId="19" totalsRowDxfId="18" dataCellStyle="Normal_Alternate Order Forms 15-16">
      <calculatedColumnFormula>MROUND(Table52021[[#This Row],[Servings Needed]],107)</calculatedColumnFormula>
    </tableColumn>
    <tableColumn id="12" name="Cases per Servings" totalsRowFunction="custom" dataDxfId="17" totalsRowDxfId="16" dataCellStyle="Normal_Alternate Order Forms 15-16">
      <calculatedColumnFormula>Table52021[[#This Row],[Servings Rounded to the Nearest Case]]/Table52021[[#This Row],[Avg. Sv. Per Case]]</calculatedColumnFormula>
      <totalsRowFormula>SUM([Cases per Servings])</totalsRowFormula>
    </tableColumn>
    <tableColumn id="6" name="Cases" totalsRowFunction="custom" dataDxfId="15" totalsRowDxfId="14">
      <calculatedColumnFormula>IF(Table18[By Servings]=1,L41,M41)</calculatedColumnFormula>
      <totalsRowFormula>SUM([Cases])</totalsRowFormula>
    </tableColumn>
    <tableColumn id="5" name="Total Servings" totalsRowFunction="custom" dataDxfId="13" totalsRowDxfId="12" dataCellStyle="Comma">
      <calculatedColumnFormula>IF(Table18[By Servings]=1,Table52021[[#This Row],[Cases per Servings]]*107,Table52021[[#This Row],[Cases]]*107)</calculatedColumnFormula>
      <totalsRowFormula>SUM([Total Servings])</totalsRowFormula>
    </tableColumn>
    <tableColumn id="7" name="DF $ Value" totalsRowFunction="sum" dataDxfId="11" totalsRowDxfId="10" dataCellStyle="Currency">
      <calculatedColumnFormula>IF(Table18[By Servings]=1,Table52021[[#This Row],[Cases per Servings]]*4.24,Table52021[[#This Row],[Cases]]*4.24)</calculatedColumnFormula>
    </tableColumn>
    <tableColumn id="9" name="Commercial Price WHITE pounds" totalsRowFunction="custom" dataDxfId="9" totalsRowDxfId="8" dataCellStyle="Comma">
      <calculatedColumnFormula>IF(Table18[By Servings]=1,Table52021[[#This Row],[Cases per Servings]]*10.05,Table52021[[#This Row],[Cases]]*10.05)</calculatedColumnFormula>
      <totalsRowFormula>SUM([Commercial Price WHITE pounds])</totalsRowFormula>
    </tableColumn>
    <tableColumn id="13" name="DF Pounds DARK" totalsRowFunction="custom" dataDxfId="7" totalsRowDxfId="6" dataCellStyle="Comma">
      <calculatedColumnFormula>IF(Table18[By Servings]=1,Table52021[[#This Row],[Cases per Servings]]*4.54,Table52021[[#This Row],[Cases]]*4.54)</calculatedColumnFormula>
      <totalsRowFormula>SUM([DF Pounds DARK])</totalsRow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47" name="Table1348" displayName="Table1348" ref="AA85:AD86" totalsRowShown="0" headerRowDxfId="5" dataDxfId="4" dataCellStyle="Comma">
  <autoFilter ref="AA85:AD86"/>
  <tableColumns count="4">
    <tableColumn id="4" name="Column1" dataDxfId="3" dataCellStyle="Comma">
      <calculatedColumnFormula>[White - Dark Formed Cases]*0</calculatedColumnFormula>
    </tableColumn>
    <tableColumn id="1" name="White - Dark Formed Cases" dataDxfId="2" dataCellStyle="Comma">
      <calculatedColumnFormula>MIN(AC86,AD86)</calculatedColumnFormula>
    </tableColumn>
    <tableColumn id="2" name="White Pounds (Cases)" dataDxfId="1" dataCellStyle="Comma">
      <calculatedColumnFormula>Table2224[MG2: White Pounds Available]/10.05</calculatedColumnFormula>
    </tableColumn>
    <tableColumn id="3" name="Dark Pounds (Cases)" dataDxfId="0" dataCellStyle="Comma">
      <calculatedColumnFormula>Table2224[MG 2: Dark Pounds Available]/4.54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4" name="Table13" displayName="Table13" ref="AA82:AD83" totalsRowShown="0" headerRowDxfId="228" dataDxfId="227" dataCellStyle="Comma">
  <autoFilter ref="AA82:AD83">
    <filterColumn colId="1" hiddenButton="1"/>
    <filterColumn colId="2" hiddenButton="1"/>
    <filterColumn colId="3" hiddenButton="1"/>
  </autoFilter>
  <tableColumns count="4">
    <tableColumn id="4" name="Column1" dataDxfId="226" dataCellStyle="Comma">
      <calculatedColumnFormula>[White - Dark Formed Cases]*0</calculatedColumnFormula>
    </tableColumn>
    <tableColumn id="1" name="White - Dark Formed Cases" dataDxfId="225" dataCellStyle="Comma">
      <calculatedColumnFormula>MAX(AC83,AD83)</calculatedColumnFormula>
    </tableColumn>
    <tableColumn id="2" name="White Pounds (Cases)" dataDxfId="224" dataCellStyle="Comma">
      <calculatedColumnFormula>Table2224[MG2: White Pounds Available]/10.05</calculatedColumnFormula>
    </tableColumn>
    <tableColumn id="3" name="Dark Pounds (Cases)" dataDxfId="223" dataCellStyle="Comma">
      <calculatedColumnFormula>Table2224[MG 2: Dark Pounds Available]/4.54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5" name="Table14" displayName="Table14" ref="AA75:AA76" totalsRowShown="0" headerRowDxfId="222" dataDxfId="221" dataCellStyle="Comma">
  <autoFilter ref="AA75:AA76">
    <filterColumn colId="0" hiddenButton="1"/>
  </autoFilter>
  <tableColumns count="1">
    <tableColumn id="1" name="White Meat Only Cases" dataDxfId="220" dataCellStyle="Comma">
      <calculatedColumnFormula>Table22[MG1: White Pounds Available]/21.28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6" name="Table15" displayName="Table15" ref="AA79:AA80" totalsRowShown="0" headerRowDxfId="219" dataDxfId="218" dataCellStyle="Comma">
  <autoFilter ref="AA79:AA80">
    <filterColumn colId="0" hiddenButton="1"/>
  </autoFilter>
  <tableColumns count="1">
    <tableColumn id="1" name="Dark Meat Formed Cases" dataDxfId="217" dataCellStyle="Comma">
      <calculatedColumnFormula>Table22[MG1: Dark Pounds Available]/34.98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7" name="Table419" displayName="Table419" ref="C15:Q30" totalsRowCount="1" headerRowDxfId="216" dataDxfId="215" totalsRowDxfId="214">
  <autoFilter ref="C15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ref="C16:M29">
    <sortCondition ref="C15:C29"/>
  </sortState>
  <tableColumns count="15">
    <tableColumn id="1" name="Item Code" dataDxfId="213" totalsRowDxfId="212"/>
    <tableColumn id="2" name="Product Description" dataDxfId="211" totalsRowDxfId="210"/>
    <tableColumn id="8" name="DF $ Value Per Case" dataDxfId="209" totalsRowDxfId="208"/>
    <tableColumn id="10" name="DF Pounds White Per Case" dataDxfId="207" totalsRowDxfId="206" dataCellStyle="Currency"/>
    <tableColumn id="11" name="DF Pounds Dark Per Case" dataDxfId="205" totalsRowDxfId="204" dataCellStyle="Currency"/>
    <tableColumn id="3" name="Avg. Wt. Per Serving" dataDxfId="203" totalsRowDxfId="202"/>
    <tableColumn id="5" name="Avg. Servings Per Case" dataDxfId="201" totalsRowDxfId="200" dataCellStyle="Normal_Alternate Order Forms 15-16"/>
    <tableColumn id="14" name="Servings Needed" dataDxfId="199" totalsRowDxfId="198" dataCellStyle="Normal_Alternate Order Forms 15-16"/>
    <tableColumn id="13" name="Svg. Rounded by Case" dataDxfId="197" totalsRowDxfId="196" dataCellStyle="Normal_Alternate Order Forms 15-16">
      <calculatedColumnFormula>MROUND(Table419[[#This Row],[Servings Needed]],80)</calculatedColumnFormula>
    </tableColumn>
    <tableColumn id="15" name="Cases per Servings" totalsRowFunction="custom" dataDxfId="195" totalsRowDxfId="194" dataCellStyle="Comma">
      <calculatedColumnFormula>Table419[[#This Row],[Svg. Rounded by Case]]/Table419[[#This Row],[Avg. Servings Per Case]]</calculatedColumnFormula>
      <totalsRowFormula>SUM(L17:L23,L25:L29)</totalsRowFormula>
    </tableColumn>
    <tableColumn id="7" name="Cases" totalsRowFunction="custom" dataDxfId="193" totalsRowDxfId="192">
      <totalsRowFormula>SUM([Cases])</totalsRowFormula>
    </tableColumn>
    <tableColumn id="6" name="Total Servings" totalsRowFunction="custom" dataDxfId="191" totalsRowDxfId="190" dataCellStyle="Comma">
      <calculatedColumnFormula>Table419[[#This Row],[Cases]]*Table419[[#This Row],[Avg. Servings Per Case]]</calculatedColumnFormula>
      <totalsRowFormula>SUM([Total Servings])</totalsRowFormula>
    </tableColumn>
    <tableColumn id="4" name="DF $ Value" totalsRowFunction="custom" dataDxfId="189" totalsRowDxfId="188">
      <calculatedColumnFormula>Table419[[#This Row],[Cases]]*19.88</calculatedColumnFormula>
      <totalsRowFormula>SUM(O17:O23,O25:O29)</totalsRowFormula>
    </tableColumn>
    <tableColumn id="9" name="DF Pounds WHITE" totalsRowFunction="custom" dataDxfId="187" totalsRowDxfId="186">
      <totalsRowFormula>SUM(P17:P23,P25:P29)</totalsRowFormula>
    </tableColumn>
    <tableColumn id="12" name="DF Pounds DARK" dataDxfId="185" totalsRowDxfId="18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8" name="Table520" displayName="Table520" ref="C40:Q46" totalsRowCount="1" headerRowDxfId="183" dataDxfId="181" totalsRowDxfId="179" headerRowBorderDxfId="182" tableBorderDxfId="180" totalsRowBorderDxfId="178">
  <autoFilter ref="C40:Q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Item Code" dataDxfId="177" totalsRowDxfId="176"/>
    <tableColumn id="2" name="Product Description" dataDxfId="175" totalsRowDxfId="174"/>
    <tableColumn id="8" name="DF $ Value Per Case" dataDxfId="173" totalsRowDxfId="172"/>
    <tableColumn id="11" name="DF Pounds White Per Case" dataDxfId="171" totalsRowDxfId="170" dataCellStyle="Currency"/>
    <tableColumn id="10" name="DF Pounds Dark Per Case" dataDxfId="169" totalsRowDxfId="168" dataCellStyle="Currency"/>
    <tableColumn id="3" name="Avg. Wt. Per Serving" dataDxfId="167" totalsRowDxfId="166"/>
    <tableColumn id="4" name="Avg. Sv. Per Case" dataDxfId="165" totalsRowDxfId="164" dataCellStyle="Normal_Alternate Order Forms 15-16"/>
    <tableColumn id="15" name="Servings Needed" dataDxfId="163" totalsRowDxfId="162" dataCellStyle="Comma"/>
    <tableColumn id="14" name="Svg. Rounded to the Nearest Case" dataDxfId="161" totalsRowDxfId="160" dataCellStyle="Normal_Alternate Order Forms 15-16">
      <calculatedColumnFormula>MROUND(Table520[[#This Row],[Servings Needed]],107)</calculatedColumnFormula>
    </tableColumn>
    <tableColumn id="12" name="Cases per Servings" totalsRowFunction="custom" dataDxfId="159" totalsRowDxfId="158" dataCellStyle="Normal_Alternate Order Forms 15-16">
      <calculatedColumnFormula>Table520[[#This Row],[Svg. Rounded to the Nearest Case]]/Table520[[#This Row],[Avg. Sv. Per Case]]</calculatedColumnFormula>
      <totalsRowFormula>SUM([Cases per Servings])</totalsRowFormula>
    </tableColumn>
    <tableColumn id="6" name="Cases" totalsRowFunction="custom" dataDxfId="157" totalsRowDxfId="156">
      <totalsRowFormula>SUM([Cases])</totalsRowFormula>
    </tableColumn>
    <tableColumn id="5" name="Total Servings" totalsRowFunction="custom" dataDxfId="155" totalsRowDxfId="154" dataCellStyle="Comma">
      <calculatedColumnFormula>IF(Table18[By Servings]=1,Table520[[#This Row],[Cases per Servings]]*107,Table520[[#This Row],[Cases]]*107)</calculatedColumnFormula>
      <totalsRowFormula>SUM([Total Servings])</totalsRowFormula>
    </tableColumn>
    <tableColumn id="7" name="DF $ Value" totalsRowFunction="sum" dataDxfId="153" totalsRowDxfId="152" dataCellStyle="Currency">
      <calculatedColumnFormula>IF(Table19[Dark Only Discount]=1,AF53,AF62)</calculatedColumnFormula>
    </tableColumn>
    <tableColumn id="9" name="DF Pounds WHITE" totalsRowFunction="custom" dataDxfId="151" totalsRowDxfId="150" dataCellStyle="Comma">
      <calculatedColumnFormula>IF(Table19[Dark Only Discount]=1," ",AG62)</calculatedColumnFormula>
      <totalsRowFormula>SUM([DF Pounds WHITE])</totalsRowFormula>
    </tableColumn>
    <tableColumn id="13" name="DF Pounds DARK" totalsRowFunction="custom" dataDxfId="149" totalsRowDxfId="148" dataCellStyle="Comma">
      <calculatedColumnFormula>IF(Table18[By Servings]=1,Table520[[#This Row],[Cases per Servings]]*4.54,Table520[[#This Row],[Cases]]*4.54)</calculatedColumnFormula>
      <totalsRowFormula>SUM([DF Pounds DARK])</totalsRow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le52022" displayName="Table52022" ref="C34:Q36" totalsRowCount="1" headerRowDxfId="147" dataDxfId="146" totalsRowDxfId="145">
  <autoFilter ref="C34:Q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Item Code" dataDxfId="144" totalsRowDxfId="143"/>
    <tableColumn id="2" name="Product Description" dataDxfId="142" totalsRowDxfId="141"/>
    <tableColumn id="8" name="DF $ Value Per Case" dataDxfId="140" totalsRowDxfId="139" dataCellStyle="Currency"/>
    <tableColumn id="9" name="DF PoundsWhite Per Case" dataDxfId="138" totalsRowDxfId="137" dataCellStyle="Comma"/>
    <tableColumn id="11" name="DF Pounds Dark Per Case" dataDxfId="136" totalsRowDxfId="135" dataCellStyle="Currency"/>
    <tableColumn id="3" name="Avg. Wt. Per Serving" dataDxfId="134" totalsRowDxfId="133"/>
    <tableColumn id="4" name="Avg. Sv. Per Case" dataDxfId="132" totalsRowDxfId="131" dataCellStyle="Normal_Alternate Order Forms 15-16"/>
    <tableColumn id="15" name="Servings Needed" dataDxfId="130" totalsRowDxfId="129" dataCellStyle="Comma">
      <calculatedColumnFormula>Table20[Dark Servings Rounded to nearest Case]</calculatedColumnFormula>
    </tableColumn>
    <tableColumn id="14" name="Svg. Rounded to the Nearest Case" dataDxfId="128" totalsRowDxfId="127" dataCellStyle="Comma">
      <calculatedColumnFormula>MROUND(J35,77)</calculatedColumnFormula>
    </tableColumn>
    <tableColumn id="13" name="Cases per Servings" totalsRowFunction="custom" dataDxfId="126" totalsRowDxfId="125" dataCellStyle="Normal_Alternate Order Forms 15-16">
      <calculatedColumnFormula>[Svg. Rounded to the Nearest Case]/[Avg. Sv. Per Case]</calculatedColumnFormula>
      <totalsRowFormula>SUM([Cases per Servings])</totalsRowFormula>
    </tableColumn>
    <tableColumn id="5" name="Cases" totalsRowFunction="custom" dataDxfId="124" totalsRowDxfId="123" dataCellStyle="Comma">
      <totalsRowFormula>SUM([Cases])</totalsRowFormula>
    </tableColumn>
    <tableColumn id="6" name="Total Servings" totalsRowFunction="custom" dataDxfId="122" totalsRowDxfId="121">
      <calculatedColumnFormula>IF(Table18[By Servings]=1,[Cases per Servings]*77,M35*77)</calculatedColumnFormula>
      <totalsRowFormula>SUM([Total Servings])</totalsRowFormula>
    </tableColumn>
    <tableColumn id="7" name="DF $ Value" totalsRowFunction="sum" dataDxfId="120" totalsRowDxfId="119" dataCellStyle="Currency">
      <calculatedColumnFormula>IF(Table18[By Servings]=1,[Cases per Servings]*32.68,[Cases]*32.68)</calculatedColumnFormula>
    </tableColumn>
    <tableColumn id="10" name="DF Pounds WHITE" dataDxfId="118" totalsRowDxfId="117" dataCellStyle="Comma"/>
    <tableColumn id="12" name="DF Pounds DARK" totalsRowFunction="custom" dataDxfId="116" totalsRowDxfId="115" dataCellStyle="Comma">
      <calculatedColumnFormula>IF(Table18[By Servings]=1,[Cases per Servings]*34.98,[Cases]*34.98)</calculatedColumnFormula>
      <totalsRowFormula>SUM([DF Pounds DARK])</totalsRow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0" name="Table22" displayName="Table22" ref="T72:U73" totalsRowShown="0" headerRowDxfId="114" dataDxfId="112" headerRowBorderDxfId="113" tableBorderDxfId="111" totalsRowBorderDxfId="110" dataCellStyle="Comma">
  <autoFilter ref="T72:U73">
    <filterColumn colId="0" hiddenButton="1"/>
    <filterColumn colId="1" hiddenButton="1"/>
  </autoFilter>
  <tableColumns count="2">
    <tableColumn id="1" name="MG1: White Pounds Available" dataDxfId="109" dataCellStyle="Comma">
      <calculatedColumnFormula>Table2[Market Group 1 White]-((Table419[[#Totals],[DF Pounds WHITE]])+(Table520[[#Totals],[DF Pounds WHITE]]))</calculatedColumnFormula>
    </tableColumn>
    <tableColumn id="2" name="MG1: Dark Pounds Available" dataDxfId="108" dataCellStyle="Comma">
      <calculatedColumnFormula>Table2[Market Group 1 Dark]-((Table52022[[#Totals],[DF Pounds DARK]])+(Table520[[#Totals],[DF Pounds DARK]]))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5" name="Table18" displayName="Table18" ref="AA69:AA70" totalsRowShown="0" headerRowDxfId="107" dataDxfId="106">
  <autoFilter ref="AA69:AA70">
    <filterColumn colId="0" hiddenButton="1"/>
  </autoFilter>
  <tableColumns count="1">
    <tableColumn id="1" name="By Servings" dataDxfId="10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" Type="http://schemas.openxmlformats.org/officeDocument/2006/relationships/drawing" Target="../drawings/drawing1.xml"/><Relationship Id="rId16" Type="http://schemas.openxmlformats.org/officeDocument/2006/relationships/table" Target="../tables/table13.xml"/><Relationship Id="rId20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24" Type="http://schemas.openxmlformats.org/officeDocument/2006/relationships/ctrlProp" Target="../ctrlProps/ctrlProp1.xml"/><Relationship Id="rId5" Type="http://schemas.openxmlformats.org/officeDocument/2006/relationships/table" Target="../tables/table2.xml"/><Relationship Id="rId15" Type="http://schemas.openxmlformats.org/officeDocument/2006/relationships/table" Target="../tables/table12.xml"/><Relationship Id="rId23" Type="http://schemas.openxmlformats.org/officeDocument/2006/relationships/ctrlProp" Target="../ctrlProps/ctrlProp2.xml"/><Relationship Id="rId10" Type="http://schemas.openxmlformats.org/officeDocument/2006/relationships/table" Target="../tables/table7.xml"/><Relationship Id="rId19" Type="http://schemas.openxmlformats.org/officeDocument/2006/relationships/table" Target="../tables/table16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Relationship Id="rId22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C1:AH137"/>
  <sheetViews>
    <sheetView showGridLines="0" tabSelected="1" topLeftCell="B1" zoomScale="70" zoomScaleNormal="70" zoomScaleSheetLayoutView="70" zoomScalePageLayoutView="70" workbookViewId="0">
      <selection activeCell="B1" sqref="B1"/>
    </sheetView>
  </sheetViews>
  <sheetFormatPr defaultColWidth="9.109375" defaultRowHeight="14.4"/>
  <cols>
    <col min="1" max="1" width="0" style="5" hidden="1" customWidth="1"/>
    <col min="2" max="2" width="9.109375" style="5" customWidth="1"/>
    <col min="3" max="3" width="13.5546875" style="5" customWidth="1"/>
    <col min="4" max="4" width="65.5546875" style="5" customWidth="1"/>
    <col min="5" max="7" width="11.6640625" style="5" customWidth="1"/>
    <col min="8" max="8" width="20.6640625" style="5" customWidth="1"/>
    <col min="9" max="9" width="11.6640625" style="6" customWidth="1"/>
    <col min="10" max="10" width="11.6640625" style="5" customWidth="1"/>
    <col min="11" max="11" width="11.6640625" style="7" customWidth="1"/>
    <col min="12" max="13" width="14.6640625" style="7" customWidth="1"/>
    <col min="14" max="14" width="14.6640625" style="5" customWidth="1"/>
    <col min="15" max="17" width="17.6640625" style="5" customWidth="1"/>
    <col min="18" max="18" width="9.109375" style="5" customWidth="1"/>
    <col min="19" max="19" width="27.5546875" style="5" customWidth="1"/>
    <col min="20" max="20" width="17.6640625" style="5" hidden="1" customWidth="1"/>
    <col min="21" max="21" width="27.5546875" style="5" hidden="1" customWidth="1"/>
    <col min="22" max="22" width="23.44140625" style="5" hidden="1" customWidth="1"/>
    <col min="23" max="34" width="27.5546875" style="5" hidden="1" customWidth="1"/>
    <col min="35" max="44" width="9.109375" style="5" customWidth="1"/>
    <col min="45" max="16384" width="9.109375" style="5"/>
  </cols>
  <sheetData>
    <row r="1" spans="3:19">
      <c r="C1" s="29"/>
    </row>
    <row r="3" spans="3:19" ht="36.6">
      <c r="E3" s="28"/>
      <c r="F3" s="26"/>
    </row>
    <row r="4" spans="3:19" ht="31.2">
      <c r="E4" s="27"/>
    </row>
    <row r="7" spans="3:19">
      <c r="D7" s="29"/>
      <c r="E7" s="29"/>
    </row>
    <row r="8" spans="3:19" ht="105.75" hidden="1" customHeight="1">
      <c r="C8" s="183" t="str">
        <f>IF(Table18[By Servings]=1," ","Enter the TOTAL amount of Donated Food pounds you wish to divert to Rich Chicks:")</f>
        <v>Enter the TOTAL amount of Donated Food pounds you wish to divert to Rich Chicks:</v>
      </c>
      <c r="D8" s="183"/>
    </row>
    <row r="9" spans="3:19" ht="48" hidden="1" customHeight="1">
      <c r="C9" s="184"/>
      <c r="D9" s="184"/>
    </row>
    <row r="10" spans="3:19" hidden="1">
      <c r="C10" s="89"/>
    </row>
    <row r="11" spans="3:19" hidden="1"/>
    <row r="12" spans="3:19" hidden="1"/>
    <row r="13" spans="3:19" hidden="1">
      <c r="E13" s="52"/>
      <c r="F13" s="8"/>
    </row>
    <row r="14" spans="3:19" ht="49.5" hidden="1" customHeight="1">
      <c r="C14" s="185" t="s">
        <v>22</v>
      </c>
      <c r="D14" s="185"/>
      <c r="E14" s="185"/>
      <c r="F14" s="185"/>
      <c r="G14" s="153"/>
      <c r="H14" s="153"/>
      <c r="I14" s="154" t="str">
        <f>IF(Table18[By Servings]=1, " ","Cases Available:")</f>
        <v>Cases Available:</v>
      </c>
      <c r="J14" s="153"/>
      <c r="K14" s="153"/>
      <c r="L14" s="153"/>
      <c r="M14" s="53">
        <f>IF(Table18[By Servings]=1," ",IF(Table14[White Meat Only Cases]&lt;0,"0",Table14[White Meat Only Cases]))</f>
        <v>0</v>
      </c>
      <c r="N14" s="54"/>
      <c r="O14" s="54"/>
      <c r="P14" s="54"/>
      <c r="Q14" s="54"/>
    </row>
    <row r="15" spans="3:19" s="15" customFormat="1" ht="72" hidden="1" customHeight="1">
      <c r="C15" s="110" t="s">
        <v>0</v>
      </c>
      <c r="D15" s="111" t="s">
        <v>1</v>
      </c>
      <c r="E15" s="111" t="s">
        <v>53</v>
      </c>
      <c r="F15" s="111" t="s">
        <v>58</v>
      </c>
      <c r="G15" s="111" t="s">
        <v>57</v>
      </c>
      <c r="H15" s="111" t="s">
        <v>2</v>
      </c>
      <c r="I15" s="110" t="s">
        <v>54</v>
      </c>
      <c r="J15" s="110" t="s">
        <v>71</v>
      </c>
      <c r="K15" s="110" t="s">
        <v>91</v>
      </c>
      <c r="L15" s="110" t="s">
        <v>73</v>
      </c>
      <c r="M15" s="110" t="s">
        <v>9</v>
      </c>
      <c r="N15" s="110" t="s">
        <v>10</v>
      </c>
      <c r="O15" s="110" t="s">
        <v>55</v>
      </c>
      <c r="P15" s="110" t="s">
        <v>61</v>
      </c>
      <c r="Q15" s="110" t="s">
        <v>66</v>
      </c>
      <c r="R15" s="16"/>
      <c r="S15" s="16"/>
    </row>
    <row r="16" spans="3:19" s="30" customFormat="1" ht="20.100000000000001" hidden="1" customHeight="1">
      <c r="C16" s="70" t="s">
        <v>21</v>
      </c>
      <c r="D16" s="71"/>
      <c r="E16" s="71"/>
      <c r="F16" s="71"/>
      <c r="G16" s="71"/>
      <c r="H16" s="72"/>
      <c r="I16" s="73"/>
      <c r="J16" s="73"/>
      <c r="K16" s="119"/>
      <c r="L16" s="119"/>
      <c r="M16" s="74"/>
      <c r="N16" s="75"/>
      <c r="O16" s="76">
        <f>Table419[[#This Row],[Cases]]*19.88</f>
        <v>0</v>
      </c>
      <c r="P16" s="76"/>
      <c r="Q16" s="77"/>
      <c r="R16" s="31"/>
      <c r="S16" s="31"/>
    </row>
    <row r="17" spans="3:19" s="30" customFormat="1" ht="20.100000000000001" hidden="1" customHeight="1">
      <c r="C17" s="32">
        <v>13408</v>
      </c>
      <c r="D17" s="33" t="s">
        <v>28</v>
      </c>
      <c r="E17" s="34">
        <v>19.88</v>
      </c>
      <c r="F17" s="34" t="s">
        <v>67</v>
      </c>
      <c r="G17" s="61">
        <v>0</v>
      </c>
      <c r="H17" s="35" t="s">
        <v>45</v>
      </c>
      <c r="I17" s="66">
        <v>78</v>
      </c>
      <c r="J17" s="121"/>
      <c r="K17" s="127">
        <f>MROUND(Table419[[#This Row],[Servings Needed]],78)</f>
        <v>0</v>
      </c>
      <c r="L17" s="127">
        <f>Table419[[#This Row],[Svg. Rounded by Case]]/Table419[[#This Row],[Avg. Servings Per Case]]</f>
        <v>0</v>
      </c>
      <c r="M17" s="173"/>
      <c r="N17" s="67">
        <f>IF(Table18[By Servings]=1,Table419[[#This Row],[Cases per Servings]]*78,Table419[[#This Row],[Cases]]*78)</f>
        <v>0</v>
      </c>
      <c r="O17" s="68">
        <f>IF(Table18[By Servings]=1,Table419[[#This Row],[Cases per Servings]]*19.88,Table419[[#This Row],[Cases]]*19.88)</f>
        <v>0</v>
      </c>
      <c r="P17" s="135">
        <f>IF(Table18[By Servings]=1,Table419[[#This Row],[Cases per Servings]]*21.28,Table419[[#This Row],[Cases]]*21.28)</f>
        <v>0</v>
      </c>
      <c r="Q17" s="112"/>
      <c r="R17" s="31"/>
      <c r="S17" s="31"/>
    </row>
    <row r="18" spans="3:19" s="30" customFormat="1" ht="20.100000000000001" hidden="1" customHeight="1">
      <c r="C18" s="36">
        <v>13410</v>
      </c>
      <c r="D18" s="37" t="s">
        <v>27</v>
      </c>
      <c r="E18" s="62">
        <v>19.88</v>
      </c>
      <c r="F18" s="34" t="s">
        <v>67</v>
      </c>
      <c r="G18" s="63">
        <v>0</v>
      </c>
      <c r="H18" s="38" t="s">
        <v>4</v>
      </c>
      <c r="I18" s="64">
        <v>78</v>
      </c>
      <c r="J18" s="122"/>
      <c r="K18" s="128">
        <f>MROUND(Table419[[#This Row],[Servings Needed]],78)</f>
        <v>0</v>
      </c>
      <c r="L18" s="128">
        <f>Table419[[#This Row],[Svg. Rounded by Case]]/Table419[[#This Row],[Avg. Servings Per Case]]</f>
        <v>0</v>
      </c>
      <c r="M18" s="174"/>
      <c r="N18" s="67">
        <f>IF(Table18[By Servings]=1,Table419[[#This Row],[Cases per Servings]]*78,Table419[[#This Row],[Cases]]*78)</f>
        <v>0</v>
      </c>
      <c r="O18" s="68">
        <f>IF(Table18[By Servings]=1,Table419[[#This Row],[Cases per Servings]]*19.88,Table419[[#This Row],[Cases]]*19.88)</f>
        <v>0</v>
      </c>
      <c r="P18" s="69">
        <f>IF(Table18[By Servings]=1,Table419[[#This Row],[Cases per Servings]]*21.28,Table419[[#This Row],[Cases]]*21.28)</f>
        <v>0</v>
      </c>
      <c r="Q18" s="109"/>
      <c r="R18" s="31"/>
      <c r="S18" s="31"/>
    </row>
    <row r="19" spans="3:19" s="30" customFormat="1" ht="20.100000000000001" hidden="1" customHeight="1">
      <c r="C19" s="36">
        <v>13415</v>
      </c>
      <c r="D19" s="37" t="s">
        <v>29</v>
      </c>
      <c r="E19" s="62">
        <v>19.88</v>
      </c>
      <c r="F19" s="34" t="s">
        <v>67</v>
      </c>
      <c r="G19" s="63">
        <v>0</v>
      </c>
      <c r="H19" s="38" t="s">
        <v>46</v>
      </c>
      <c r="I19" s="64">
        <v>80</v>
      </c>
      <c r="J19" s="122"/>
      <c r="K19" s="128">
        <f>MROUND(Table419[[#This Row],[Servings Needed]],80)</f>
        <v>0</v>
      </c>
      <c r="L19" s="128">
        <f>Table419[[#This Row],[Svg. Rounded by Case]]/Table419[[#This Row],[Avg. Servings Per Case]]</f>
        <v>0</v>
      </c>
      <c r="M19" s="174"/>
      <c r="N19" s="67">
        <f>IF(Table18[By Servings]=1,Table419[[#This Row],[Cases per Servings]]*80,Table419[[#This Row],[Cases]]*80)</f>
        <v>0</v>
      </c>
      <c r="O19" s="68">
        <f>IF(Table18[By Servings]=1,Table419[[#This Row],[Cases per Servings]]*19.88,Table419[[#This Row],[Cases]]*19.88)</f>
        <v>0</v>
      </c>
      <c r="P19" s="69">
        <f>IF(Table18[By Servings]=1,Table419[[#This Row],[Cases per Servings]]*21.28,Table419[[#This Row],[Cases]]*21.28)</f>
        <v>0</v>
      </c>
      <c r="Q19" s="109"/>
      <c r="R19" s="31"/>
      <c r="S19" s="31"/>
    </row>
    <row r="20" spans="3:19" s="30" customFormat="1" ht="20.100000000000001" hidden="1" customHeight="1">
      <c r="C20" s="36">
        <v>23403</v>
      </c>
      <c r="D20" s="37" t="s">
        <v>30</v>
      </c>
      <c r="E20" s="62">
        <v>19.88</v>
      </c>
      <c r="F20" s="34" t="s">
        <v>67</v>
      </c>
      <c r="G20" s="63">
        <v>0</v>
      </c>
      <c r="H20" s="38" t="s">
        <v>47</v>
      </c>
      <c r="I20" s="64">
        <v>78</v>
      </c>
      <c r="J20" s="122"/>
      <c r="K20" s="128">
        <f>MROUND(Table419[[#This Row],[Servings Needed]],78)</f>
        <v>0</v>
      </c>
      <c r="L20" s="128">
        <f>Table419[[#This Row],[Svg. Rounded by Case]]/Table419[[#This Row],[Avg. Servings Per Case]]</f>
        <v>0</v>
      </c>
      <c r="M20" s="174"/>
      <c r="N20" s="67">
        <f>IF(Table18[By Servings]=1,Table419[[#This Row],[Cases per Servings]]*78,Table419[[#This Row],[Cases]]*78)</f>
        <v>0</v>
      </c>
      <c r="O20" s="68">
        <f>IF(Table18[By Servings]=1,Table419[[#This Row],[Cases per Servings]]*19.88,Table419[[#This Row],[Cases]]*19.88)</f>
        <v>0</v>
      </c>
      <c r="P20" s="69">
        <f>IF(Table18[By Servings]=1,Table419[[#This Row],[Cases per Servings]]*21.28,Table419[[#This Row],[Cases]]*21.28)</f>
        <v>0</v>
      </c>
      <c r="Q20" s="109"/>
      <c r="R20" s="31"/>
      <c r="S20" s="31"/>
    </row>
    <row r="21" spans="3:19" s="30" customFormat="1" ht="20.100000000000001" hidden="1" customHeight="1">
      <c r="C21" s="36">
        <v>23404</v>
      </c>
      <c r="D21" s="37" t="s">
        <v>31</v>
      </c>
      <c r="E21" s="62">
        <v>19.88</v>
      </c>
      <c r="F21" s="34" t="s">
        <v>67</v>
      </c>
      <c r="G21" s="63">
        <v>0</v>
      </c>
      <c r="H21" s="38" t="s">
        <v>5</v>
      </c>
      <c r="I21" s="64">
        <v>79</v>
      </c>
      <c r="J21" s="122"/>
      <c r="K21" s="128">
        <f>MROUND(Table419[[#This Row],[Servings Needed]],79)</f>
        <v>0</v>
      </c>
      <c r="L21" s="128">
        <f>Table419[[#This Row],[Svg. Rounded by Case]]/Table419[[#This Row],[Avg. Servings Per Case]]</f>
        <v>0</v>
      </c>
      <c r="M21" s="174"/>
      <c r="N21" s="67">
        <f>IF(Table18[By Servings]=1,Table419[[#This Row],[Cases per Servings]]*79,Table419[[#This Row],[Cases]]*79)</f>
        <v>0</v>
      </c>
      <c r="O21" s="68">
        <f>IF(Table18[By Servings]=1,Table419[[#This Row],[Cases per Servings]]*19.88,Table419[[#This Row],[Cases]]*19.88)</f>
        <v>0</v>
      </c>
      <c r="P21" s="69">
        <f>IF(Table18[By Servings]=1,Table419[[#This Row],[Cases per Servings]]*21.28,Table419[[#This Row],[Cases]]*21.28)</f>
        <v>0</v>
      </c>
      <c r="Q21" s="109"/>
      <c r="R21" s="31"/>
      <c r="S21" s="31"/>
    </row>
    <row r="22" spans="3:19" s="30" customFormat="1" ht="20.100000000000001" hidden="1" customHeight="1">
      <c r="C22" s="36">
        <v>43403</v>
      </c>
      <c r="D22" s="37" t="s">
        <v>32</v>
      </c>
      <c r="E22" s="62">
        <v>19.88</v>
      </c>
      <c r="F22" s="34" t="s">
        <v>67</v>
      </c>
      <c r="G22" s="63">
        <v>0</v>
      </c>
      <c r="H22" s="38" t="s">
        <v>48</v>
      </c>
      <c r="I22" s="64">
        <v>80</v>
      </c>
      <c r="J22" s="122"/>
      <c r="K22" s="128">
        <f>MROUND(Table419[[#This Row],[Servings Needed]],80)</f>
        <v>0</v>
      </c>
      <c r="L22" s="128">
        <f>Table419[[#This Row],[Svg. Rounded by Case]]/Table419[[#This Row],[Avg. Servings Per Case]]</f>
        <v>0</v>
      </c>
      <c r="M22" s="174"/>
      <c r="N22" s="67">
        <f>IF(Table18[By Servings]=1,Table419[[#This Row],[Cases per Servings]]*80,Table419[[#This Row],[Cases]]*80)</f>
        <v>0</v>
      </c>
      <c r="O22" s="68">
        <f>IF(Table18[By Servings]=1,Table419[[#This Row],[Cases per Servings]]*19.88,Table419[[#This Row],[Cases]]*19.88)</f>
        <v>0</v>
      </c>
      <c r="P22" s="69">
        <f>IF(Table18[By Servings]=1,Table419[[#This Row],[Cases per Servings]]*21.28,Table419[[#This Row],[Cases]]*21.28)</f>
        <v>0</v>
      </c>
      <c r="Q22" s="109"/>
      <c r="R22" s="31"/>
      <c r="S22" s="31"/>
    </row>
    <row r="23" spans="3:19" s="30" customFormat="1" ht="20.100000000000001" hidden="1" customHeight="1">
      <c r="C23" s="39">
        <v>43404</v>
      </c>
      <c r="D23" s="40" t="s">
        <v>33</v>
      </c>
      <c r="E23" s="78">
        <v>19.88</v>
      </c>
      <c r="F23" s="34" t="s">
        <v>67</v>
      </c>
      <c r="G23" s="79">
        <v>0</v>
      </c>
      <c r="H23" s="41" t="s">
        <v>50</v>
      </c>
      <c r="I23" s="80">
        <v>80</v>
      </c>
      <c r="J23" s="123"/>
      <c r="K23" s="129">
        <f>MROUND(Table419[[#This Row],[Servings Needed]],80)</f>
        <v>0</v>
      </c>
      <c r="L23" s="129">
        <f>Table419[[#This Row],[Svg. Rounded by Case]]/Table419[[#This Row],[Avg. Servings Per Case]]</f>
        <v>0</v>
      </c>
      <c r="M23" s="175"/>
      <c r="N23" s="67">
        <f>IF(Table18[By Servings]=1,Table419[[#This Row],[Cases per Servings]]*80,Table419[[#This Row],[Cases]]*80)</f>
        <v>0</v>
      </c>
      <c r="O23" s="68">
        <f>IF(Table18[By Servings]=1,Table419[[#This Row],[Cases per Servings]]*19.88,Table419[[#This Row],[Cases]]*19.88)</f>
        <v>0</v>
      </c>
      <c r="P23" s="69">
        <f>IF(Table18[By Servings]=1,Table419[[#This Row],[Cases per Servings]]*21.28,Table419[[#This Row],[Cases]]*21.28)</f>
        <v>0</v>
      </c>
      <c r="Q23" s="113"/>
      <c r="R23" s="31"/>
      <c r="S23" s="31"/>
    </row>
    <row r="24" spans="3:19" s="30" customFormat="1" ht="20.100000000000001" hidden="1" customHeight="1">
      <c r="C24" s="70" t="s">
        <v>23</v>
      </c>
      <c r="D24" s="82"/>
      <c r="E24" s="82"/>
      <c r="F24" s="82"/>
      <c r="G24" s="82"/>
      <c r="H24" s="83"/>
      <c r="I24" s="84"/>
      <c r="J24" s="84"/>
      <c r="K24" s="120"/>
      <c r="L24" s="120"/>
      <c r="M24" s="85"/>
      <c r="N24" s="86"/>
      <c r="O24" s="85"/>
      <c r="P24" s="85"/>
      <c r="Q24" s="87"/>
      <c r="R24" s="31"/>
      <c r="S24" s="31"/>
    </row>
    <row r="25" spans="3:19" s="30" customFormat="1" ht="20.100000000000001" hidden="1" customHeight="1">
      <c r="C25" s="32">
        <v>54485</v>
      </c>
      <c r="D25" s="33" t="s">
        <v>34</v>
      </c>
      <c r="E25" s="34">
        <v>19.88</v>
      </c>
      <c r="F25" s="34" t="s">
        <v>67</v>
      </c>
      <c r="G25" s="61">
        <v>0</v>
      </c>
      <c r="H25" s="35" t="s">
        <v>24</v>
      </c>
      <c r="I25" s="81">
        <v>78</v>
      </c>
      <c r="J25" s="124"/>
      <c r="K25" s="130">
        <f>MROUND(Table419[[#This Row],[Servings Needed]],78)</f>
        <v>0</v>
      </c>
      <c r="L25" s="130">
        <f>Table419[[#This Row],[Svg. Rounded by Case]]/Table419[[#This Row],[Avg. Servings Per Case]]</f>
        <v>0</v>
      </c>
      <c r="M25" s="176"/>
      <c r="N25" s="67">
        <f>IF(Table18[By Servings]=1,Table419[[#This Row],[Cases per Servings]]*78,Table419[[#This Row],[Cases]]*78)</f>
        <v>0</v>
      </c>
      <c r="O25" s="68">
        <f>IF(Table18[By Servings]=1,Table419[[#This Row],[Cases per Servings]]*19.88,Table419[[#This Row],[Cases]]*19.88)</f>
        <v>0</v>
      </c>
      <c r="P25" s="69">
        <f>IF(Table18[By Servings]=1,Table419[[#This Row],[Cases per Servings]]*21.28,Table419[[#This Row],[Cases]]*21.28)</f>
        <v>0</v>
      </c>
      <c r="Q25" s="112"/>
      <c r="R25" s="31"/>
      <c r="S25" s="31"/>
    </row>
    <row r="26" spans="3:19" s="30" customFormat="1" ht="20.100000000000001" hidden="1" customHeight="1">
      <c r="C26" s="36">
        <v>54486</v>
      </c>
      <c r="D26" s="37" t="s">
        <v>35</v>
      </c>
      <c r="E26" s="62">
        <v>19.88</v>
      </c>
      <c r="F26" s="34" t="s">
        <v>67</v>
      </c>
      <c r="G26" s="63">
        <v>0</v>
      </c>
      <c r="H26" s="38" t="s">
        <v>3</v>
      </c>
      <c r="I26" s="65">
        <v>78</v>
      </c>
      <c r="J26" s="125"/>
      <c r="K26" s="131">
        <f>MROUND(Table419[[#This Row],[Servings Needed]],78)</f>
        <v>0</v>
      </c>
      <c r="L26" s="131">
        <f>Table419[[#This Row],[Svg. Rounded by Case]]/Table419[[#This Row],[Avg. Servings Per Case]]</f>
        <v>0</v>
      </c>
      <c r="M26" s="177"/>
      <c r="N26" s="67">
        <f>IF(Table18[By Servings]=1,Table419[[#This Row],[Cases per Servings]]*78,Table419[[#This Row],[Cases]]*78)</f>
        <v>0</v>
      </c>
      <c r="O26" s="68">
        <f>IF(Table18[By Servings]=1,Table419[[#This Row],[Cases per Servings]]*19.88,Table419[[#This Row],[Cases]]*19.88)</f>
        <v>0</v>
      </c>
      <c r="P26" s="69">
        <f>IF(Table18[By Servings]=1,Table419[[#This Row],[Cases per Servings]]*21.28,Table419[[#This Row],[Cases]]*21.28)</f>
        <v>0</v>
      </c>
      <c r="Q26" s="109"/>
      <c r="R26" s="31"/>
      <c r="S26" s="31"/>
    </row>
    <row r="27" spans="3:19" s="30" customFormat="1" ht="20.100000000000001" hidden="1" customHeight="1">
      <c r="C27" s="36">
        <v>54487</v>
      </c>
      <c r="D27" s="37" t="s">
        <v>36</v>
      </c>
      <c r="E27" s="62">
        <v>19.88</v>
      </c>
      <c r="F27" s="34" t="s">
        <v>67</v>
      </c>
      <c r="G27" s="63">
        <v>0</v>
      </c>
      <c r="H27" s="38" t="s">
        <v>51</v>
      </c>
      <c r="I27" s="65">
        <v>78</v>
      </c>
      <c r="J27" s="125"/>
      <c r="K27" s="131">
        <f>MROUND(Table419[[#This Row],[Servings Needed]],78)</f>
        <v>0</v>
      </c>
      <c r="L27" s="131">
        <f>Table419[[#This Row],[Svg. Rounded by Case]]/Table419[[#This Row],[Avg. Servings Per Case]]</f>
        <v>0</v>
      </c>
      <c r="M27" s="177"/>
      <c r="N27" s="67">
        <f>IF(Table18[By Servings]=1,Table419[[#This Row],[Cases per Servings]]*78,Table419[[#This Row],[Cases]]*78)</f>
        <v>0</v>
      </c>
      <c r="O27" s="68">
        <f>IF(Table18[By Servings]=1,Table419[[#This Row],[Cases per Servings]]*19.88,Table419[[#This Row],[Cases]]*19.88)</f>
        <v>0</v>
      </c>
      <c r="P27" s="69">
        <f>IF(Table18[By Servings]=1,Table419[[#This Row],[Cases per Servings]]*21.28,Table419[[#This Row],[Cases]]*21.28)</f>
        <v>0</v>
      </c>
      <c r="Q27" s="109"/>
      <c r="R27" s="31"/>
      <c r="S27" s="31"/>
    </row>
    <row r="28" spans="3:19" s="30" customFormat="1" ht="20.100000000000001" hidden="1" customHeight="1">
      <c r="C28" s="36">
        <v>54496</v>
      </c>
      <c r="D28" s="37" t="s">
        <v>37</v>
      </c>
      <c r="E28" s="62">
        <v>19.88</v>
      </c>
      <c r="F28" s="34" t="s">
        <v>67</v>
      </c>
      <c r="G28" s="63">
        <v>0</v>
      </c>
      <c r="H28" s="38" t="s">
        <v>3</v>
      </c>
      <c r="I28" s="65">
        <v>78</v>
      </c>
      <c r="J28" s="125"/>
      <c r="K28" s="131">
        <f>MROUND(Table419[[#This Row],[Servings Needed]],78)</f>
        <v>0</v>
      </c>
      <c r="L28" s="131">
        <f>Table419[[#This Row],[Svg. Rounded by Case]]/Table419[[#This Row],[Avg. Servings Per Case]]</f>
        <v>0</v>
      </c>
      <c r="M28" s="177"/>
      <c r="N28" s="67">
        <f>IF(Table18[By Servings]=1,Table419[[#This Row],[Cases per Servings]]*78,Table419[[#This Row],[Cases]]*78)</f>
        <v>0</v>
      </c>
      <c r="O28" s="68">
        <f>IF(Table18[By Servings]=1,Table419[[#This Row],[Cases per Servings]]*19.88,Table419[[#This Row],[Cases]]*19.88)</f>
        <v>0</v>
      </c>
      <c r="P28" s="69">
        <f>IF(Table18[By Servings]=1,Table419[[#This Row],[Cases per Servings]]*21.28,Table419[[#This Row],[Cases]]*21.28)</f>
        <v>0</v>
      </c>
      <c r="Q28" s="109"/>
      <c r="R28" s="31"/>
      <c r="S28" s="31"/>
    </row>
    <row r="29" spans="3:19" s="30" customFormat="1" ht="20.100000000000001" hidden="1" customHeight="1">
      <c r="C29" s="36">
        <v>54497</v>
      </c>
      <c r="D29" s="37" t="s">
        <v>38</v>
      </c>
      <c r="E29" s="62">
        <v>19.88</v>
      </c>
      <c r="F29" s="34" t="s">
        <v>67</v>
      </c>
      <c r="G29" s="63">
        <v>0</v>
      </c>
      <c r="H29" s="38" t="s">
        <v>24</v>
      </c>
      <c r="I29" s="65">
        <v>78</v>
      </c>
      <c r="J29" s="125"/>
      <c r="K29" s="131">
        <f>MROUND(Table419[[#This Row],[Servings Needed]],78)</f>
        <v>0</v>
      </c>
      <c r="L29" s="131">
        <f>Table419[[#This Row],[Svg. Rounded by Case]]/Table419[[#This Row],[Avg. Servings Per Case]]</f>
        <v>0</v>
      </c>
      <c r="M29" s="177"/>
      <c r="N29" s="67">
        <f>IF(Table18[By Servings]=1,Table419[[#This Row],[Cases per Servings]]*78,Table419[[#This Row],[Cases]]*78)</f>
        <v>0</v>
      </c>
      <c r="O29" s="68">
        <f>IF(Table18[By Servings]=1,Table419[[#This Row],[Cases per Servings]]*19.88,Table419[[#This Row],[Cases]]*19.88)</f>
        <v>0</v>
      </c>
      <c r="P29" s="69">
        <f>IF(Table18[By Servings]=1,Table419[[#This Row],[Cases per Servings]]*21.28,Table419[[#This Row],[Cases]]*21.28)</f>
        <v>0</v>
      </c>
      <c r="Q29" s="109"/>
      <c r="R29" s="31"/>
      <c r="S29" s="31"/>
    </row>
    <row r="30" spans="3:19" s="30" customFormat="1" ht="20.100000000000001" hidden="1" customHeight="1">
      <c r="C30" s="95"/>
      <c r="D30" s="96"/>
      <c r="E30" s="96"/>
      <c r="F30" s="96"/>
      <c r="G30" s="96"/>
      <c r="H30" s="97"/>
      <c r="I30" s="93"/>
      <c r="J30" s="93"/>
      <c r="K30" s="93"/>
      <c r="L30" s="133">
        <f>SUM(L17:L23,L25:L29)</f>
        <v>0</v>
      </c>
      <c r="M30" s="178">
        <f>SUM([Cases])</f>
        <v>0</v>
      </c>
      <c r="N30" s="49">
        <f>SUM([Total Servings])</f>
        <v>0</v>
      </c>
      <c r="O30" s="98">
        <f>SUM(O17:O23,O25:O29)</f>
        <v>0</v>
      </c>
      <c r="P30" s="99">
        <f>SUM(P17:P23,P25:P29)</f>
        <v>0</v>
      </c>
      <c r="Q30" s="100"/>
      <c r="R30" s="31"/>
      <c r="S30" s="31"/>
    </row>
    <row r="31" spans="3:19" hidden="1">
      <c r="C31" s="17"/>
      <c r="D31" s="18"/>
      <c r="E31" s="19"/>
      <c r="F31" s="20"/>
      <c r="G31" s="21"/>
      <c r="H31" s="22"/>
      <c r="I31" s="3"/>
    </row>
    <row r="32" spans="3:19" hidden="1">
      <c r="C32" s="17"/>
      <c r="D32" s="18"/>
      <c r="E32" s="19"/>
      <c r="F32" s="20"/>
      <c r="G32" s="21"/>
      <c r="H32" s="22"/>
      <c r="I32" s="3"/>
    </row>
    <row r="33" spans="3:19" ht="45" hidden="1" customHeight="1">
      <c r="C33" s="186" t="s">
        <v>17</v>
      </c>
      <c r="D33" s="186"/>
      <c r="E33" s="186"/>
      <c r="F33" s="186"/>
      <c r="G33" s="152"/>
      <c r="H33" s="152"/>
      <c r="I33" s="155" t="str">
        <f>IF(Table18[By Servings]=1," ","Cases Available:")</f>
        <v>Cases Available:</v>
      </c>
      <c r="J33" s="152"/>
      <c r="K33" s="152"/>
      <c r="L33" s="152"/>
      <c r="M33" s="58">
        <f>IF(Table18[By Servings]=1," ",IF(Table15[Dark Meat Formed Cases]&lt;0,"0",Table15[Dark Meat Formed Cases]))</f>
        <v>0</v>
      </c>
      <c r="N33" s="59"/>
      <c r="O33" s="59"/>
      <c r="P33" s="59"/>
      <c r="Q33" s="59"/>
    </row>
    <row r="34" spans="3:19" s="15" customFormat="1" ht="72" hidden="1" customHeight="1">
      <c r="C34" s="107" t="s">
        <v>0</v>
      </c>
      <c r="D34" s="108" t="s">
        <v>1</v>
      </c>
      <c r="E34" s="108" t="s">
        <v>53</v>
      </c>
      <c r="F34" s="108" t="s">
        <v>63</v>
      </c>
      <c r="G34" s="108" t="s">
        <v>57</v>
      </c>
      <c r="H34" s="108" t="s">
        <v>2</v>
      </c>
      <c r="I34" s="107" t="s">
        <v>62</v>
      </c>
      <c r="J34" s="107" t="s">
        <v>71</v>
      </c>
      <c r="K34" s="107" t="s">
        <v>90</v>
      </c>
      <c r="L34" s="107" t="s">
        <v>73</v>
      </c>
      <c r="M34" s="107" t="s">
        <v>9</v>
      </c>
      <c r="N34" s="107" t="s">
        <v>10</v>
      </c>
      <c r="O34" s="107" t="s">
        <v>55</v>
      </c>
      <c r="P34" s="107" t="s">
        <v>61</v>
      </c>
      <c r="Q34" s="107" t="s">
        <v>66</v>
      </c>
      <c r="R34" s="16"/>
      <c r="S34" s="16"/>
    </row>
    <row r="35" spans="3:19" s="30" customFormat="1" ht="20.100000000000001" hidden="1" customHeight="1">
      <c r="C35" s="42">
        <v>94401</v>
      </c>
      <c r="D35" s="43" t="s">
        <v>39</v>
      </c>
      <c r="E35" s="44">
        <v>32.68</v>
      </c>
      <c r="F35" s="55">
        <v>0</v>
      </c>
      <c r="G35" s="44" t="s">
        <v>68</v>
      </c>
      <c r="H35" s="45" t="s">
        <v>18</v>
      </c>
      <c r="I35" s="46">
        <v>77</v>
      </c>
      <c r="J35" s="126">
        <f>Table20[Dark Servings Rounded to nearest Case]</f>
        <v>0</v>
      </c>
      <c r="K35" s="127">
        <f>MROUND(J35,77)</f>
        <v>0</v>
      </c>
      <c r="L35" s="132">
        <f>[Svg. Rounded to the Nearest Case]/[Avg. Sv. Per Case]</f>
        <v>0</v>
      </c>
      <c r="M35" s="177"/>
      <c r="N35" s="47">
        <f>IF(Table18[By Servings]=1,[Cases per Servings]*77,M35*77)</f>
        <v>0</v>
      </c>
      <c r="O35" s="48">
        <f>IF(Table18[By Servings]=1,[Cases per Servings]*32.68,[Cases]*32.68)</f>
        <v>0</v>
      </c>
      <c r="P35" s="56"/>
      <c r="Q35" s="56">
        <f>IF(Table18[By Servings]=1,[Cases per Servings]*34.98,[Cases]*34.98)</f>
        <v>0</v>
      </c>
      <c r="R35" s="31"/>
      <c r="S35" s="31"/>
    </row>
    <row r="36" spans="3:19" s="30" customFormat="1" ht="20.100000000000001" hidden="1" customHeight="1">
      <c r="C36" s="90"/>
      <c r="D36" s="91"/>
      <c r="E36" s="91"/>
      <c r="F36" s="91"/>
      <c r="G36" s="91"/>
      <c r="H36" s="92"/>
      <c r="I36" s="93"/>
      <c r="J36" s="93"/>
      <c r="K36" s="93"/>
      <c r="L36" s="134">
        <f>SUM([Cases per Servings])</f>
        <v>0</v>
      </c>
      <c r="M36" s="178">
        <f>SUM([Cases])</f>
        <v>0</v>
      </c>
      <c r="N36" s="49">
        <f>SUM([Total Servings])</f>
        <v>0</v>
      </c>
      <c r="O36" s="94">
        <f>SUBTOTAL(109,[DF $ Value])</f>
        <v>0</v>
      </c>
      <c r="P36" s="57"/>
      <c r="Q36" s="57">
        <f>SUM([DF Pounds DARK])</f>
        <v>0</v>
      </c>
      <c r="R36" s="31"/>
      <c r="S36" s="31"/>
    </row>
    <row r="37" spans="3:19" hidden="1">
      <c r="C37" s="17"/>
      <c r="D37" s="18"/>
      <c r="E37" s="19"/>
      <c r="F37" s="20"/>
      <c r="G37" s="21"/>
      <c r="H37" s="22"/>
      <c r="I37" s="50"/>
      <c r="J37" s="51"/>
    </row>
    <row r="38" spans="3:19" hidden="1">
      <c r="C38" s="17"/>
      <c r="D38" s="18"/>
      <c r="E38" s="19"/>
      <c r="F38" s="23"/>
      <c r="G38" s="24"/>
      <c r="H38" s="25"/>
      <c r="I38" s="12"/>
    </row>
    <row r="39" spans="3:19" ht="45" hidden="1" customHeight="1">
      <c r="C39" s="187" t="s">
        <v>16</v>
      </c>
      <c r="D39" s="187"/>
      <c r="E39" s="187"/>
      <c r="F39" s="187"/>
      <c r="G39" s="151"/>
      <c r="H39" s="151"/>
      <c r="I39" s="156" t="str">
        <f>IF(Table18[By Servings]=1," ","Cases Available:")</f>
        <v>Cases Available:</v>
      </c>
      <c r="J39" s="151"/>
      <c r="K39" s="151"/>
      <c r="L39" s="151"/>
      <c r="M39" s="60">
        <f>IF(Table18[By Servings]=1," ",(IF(Table19[Dark Only Discount]=0,Table1348[White - Dark Formed Cases],Table13[White - Dark Formed Cases])))</f>
        <v>0</v>
      </c>
      <c r="N39" s="114"/>
      <c r="O39" s="114"/>
      <c r="P39" s="114"/>
      <c r="Q39" s="114"/>
    </row>
    <row r="40" spans="3:19" s="15" customFormat="1" ht="72" hidden="1" customHeight="1">
      <c r="C40" s="105" t="s">
        <v>0</v>
      </c>
      <c r="D40" s="106" t="s">
        <v>1</v>
      </c>
      <c r="E40" s="106" t="s">
        <v>53</v>
      </c>
      <c r="F40" s="106" t="s">
        <v>58</v>
      </c>
      <c r="G40" s="106" t="s">
        <v>57</v>
      </c>
      <c r="H40" s="106" t="s">
        <v>2</v>
      </c>
      <c r="I40" s="105" t="s">
        <v>62</v>
      </c>
      <c r="J40" s="105" t="s">
        <v>71</v>
      </c>
      <c r="K40" s="105" t="s">
        <v>90</v>
      </c>
      <c r="L40" s="105" t="s">
        <v>73</v>
      </c>
      <c r="M40" s="105" t="s">
        <v>9</v>
      </c>
      <c r="N40" s="105" t="s">
        <v>10</v>
      </c>
      <c r="O40" s="105" t="s">
        <v>55</v>
      </c>
      <c r="P40" s="105" t="s">
        <v>61</v>
      </c>
      <c r="Q40" s="105" t="s">
        <v>66</v>
      </c>
      <c r="R40" s="16"/>
    </row>
    <row r="41" spans="3:19" s="30" customFormat="1" ht="20.100000000000001" hidden="1" customHeight="1">
      <c r="C41" s="42">
        <v>54409</v>
      </c>
      <c r="D41" s="43" t="s">
        <v>40</v>
      </c>
      <c r="E41" s="44">
        <v>13.63</v>
      </c>
      <c r="F41" s="44" t="s">
        <v>59</v>
      </c>
      <c r="G41" s="44" t="s">
        <v>60</v>
      </c>
      <c r="H41" s="45" t="s">
        <v>6</v>
      </c>
      <c r="I41" s="46">
        <v>107</v>
      </c>
      <c r="J41" s="122"/>
      <c r="K41" s="132">
        <f>MROUND(Table520[[#This Row],[Servings Needed]],107)</f>
        <v>0</v>
      </c>
      <c r="L41" s="132">
        <f>Table520[[#This Row],[Svg. Rounded to the Nearest Case]]/Table520[[#This Row],[Avg. Sv. Per Case]]</f>
        <v>0</v>
      </c>
      <c r="M41" s="174"/>
      <c r="N41" s="47">
        <f>IF(Table18[By Servings]=1,Table520[[#This Row],[Cases per Servings]]*107,Table520[[#This Row],[Cases]]*107)</f>
        <v>0</v>
      </c>
      <c r="O41" s="48">
        <f>IF(Table19[Dark Only Discount]=1,AF53,AF62)</f>
        <v>0</v>
      </c>
      <c r="P41" s="56">
        <f>IF(Table19[Dark Only Discount]=1," ",AG62)</f>
        <v>0</v>
      </c>
      <c r="Q41" s="56">
        <f>IF(Table18[By Servings]=1,Table520[[#This Row],[Cases per Servings]]*4.54,Table520[[#This Row],[Cases]]*4.54)</f>
        <v>0</v>
      </c>
      <c r="R41" s="31"/>
    </row>
    <row r="42" spans="3:19" s="30" customFormat="1" ht="20.100000000000001" hidden="1" customHeight="1">
      <c r="C42" s="42">
        <v>54410</v>
      </c>
      <c r="D42" s="43" t="s">
        <v>41</v>
      </c>
      <c r="E42" s="44">
        <v>13.63</v>
      </c>
      <c r="F42" s="44" t="s">
        <v>59</v>
      </c>
      <c r="G42" s="44" t="s">
        <v>60</v>
      </c>
      <c r="H42" s="45" t="s">
        <v>7</v>
      </c>
      <c r="I42" s="46">
        <v>107</v>
      </c>
      <c r="J42" s="122"/>
      <c r="K42" s="132">
        <f>MROUND(Table520[[#This Row],[Servings Needed]],107)</f>
        <v>0</v>
      </c>
      <c r="L42" s="132">
        <f>Table520[[#This Row],[Svg. Rounded to the Nearest Case]]/Table520[[#This Row],[Avg. Sv. Per Case]]</f>
        <v>0</v>
      </c>
      <c r="M42" s="174"/>
      <c r="N42" s="47">
        <f>IF(Table18[By Servings]=1,Table520[[#This Row],[Cases per Servings]]*107,Table520[[#This Row],[Cases]]*107)</f>
        <v>0</v>
      </c>
      <c r="O42" s="48">
        <f>IF(Table19[Dark Only Discount]=1,AF54,AF63)</f>
        <v>0</v>
      </c>
      <c r="P42" s="56">
        <f>IF(Table19[Dark Only Discount]=1," ",AG63)</f>
        <v>0</v>
      </c>
      <c r="Q42" s="56">
        <f>IF(Table18[By Servings]=1,Table520[[#This Row],[Cases per Servings]]*4.54,Table520[[#This Row],[Cases]]*4.54)</f>
        <v>0</v>
      </c>
      <c r="R42" s="31"/>
      <c r="S42" s="31"/>
    </row>
    <row r="43" spans="3:19" s="30" customFormat="1" ht="20.100000000000001" hidden="1" customHeight="1">
      <c r="C43" s="42">
        <v>54411</v>
      </c>
      <c r="D43" s="43" t="s">
        <v>42</v>
      </c>
      <c r="E43" s="44">
        <v>13.63</v>
      </c>
      <c r="F43" s="44" t="s">
        <v>59</v>
      </c>
      <c r="G43" s="44" t="s">
        <v>60</v>
      </c>
      <c r="H43" s="45" t="s">
        <v>11</v>
      </c>
      <c r="I43" s="46">
        <v>107</v>
      </c>
      <c r="J43" s="122"/>
      <c r="K43" s="132">
        <f>MROUND(Table520[[#This Row],[Servings Needed]],107)</f>
        <v>0</v>
      </c>
      <c r="L43" s="132">
        <f>Table520[[#This Row],[Svg. Rounded to the Nearest Case]]/Table520[[#This Row],[Avg. Sv. Per Case]]</f>
        <v>0</v>
      </c>
      <c r="M43" s="174"/>
      <c r="N43" s="47">
        <f>IF(Table18[By Servings]=1,Table520[[#This Row],[Cases per Servings]]*107,Table520[[#This Row],[Cases]]*107)</f>
        <v>0</v>
      </c>
      <c r="O43" s="48">
        <f>IF(Table19[Dark Only Discount]=1,AF55,AF64)</f>
        <v>0</v>
      </c>
      <c r="P43" s="56">
        <f>IF(Table19[Dark Only Discount]=1," ",AG64)</f>
        <v>0</v>
      </c>
      <c r="Q43" s="56">
        <f>IF(Table18[By Servings]=1,Table520[[#This Row],[Cases per Servings]]*4.54,Table520[[#This Row],[Cases]]*4.54)</f>
        <v>0</v>
      </c>
      <c r="R43" s="31"/>
      <c r="S43" s="31"/>
    </row>
    <row r="44" spans="3:19" s="30" customFormat="1" ht="20.100000000000001" hidden="1" customHeight="1">
      <c r="C44" s="42">
        <v>54412</v>
      </c>
      <c r="D44" s="43" t="s">
        <v>43</v>
      </c>
      <c r="E44" s="44">
        <v>13.63</v>
      </c>
      <c r="F44" s="44" t="s">
        <v>59</v>
      </c>
      <c r="G44" s="44" t="s">
        <v>60</v>
      </c>
      <c r="H44" s="45" t="s">
        <v>8</v>
      </c>
      <c r="I44" s="46">
        <v>107</v>
      </c>
      <c r="J44" s="122"/>
      <c r="K44" s="132">
        <f>MROUND(Table520[[#This Row],[Servings Needed]],107)</f>
        <v>0</v>
      </c>
      <c r="L44" s="132">
        <f>Table520[[#This Row],[Svg. Rounded to the Nearest Case]]/Table520[[#This Row],[Avg. Sv. Per Case]]</f>
        <v>0</v>
      </c>
      <c r="M44" s="174"/>
      <c r="N44" s="47">
        <f>IF(Table18[By Servings]=1,Table520[[#This Row],[Cases per Servings]]*107,Table520[[#This Row],[Cases]]*107)</f>
        <v>0</v>
      </c>
      <c r="O44" s="48">
        <f>IF(Table19[Dark Only Discount]=1,AF56,AF65)</f>
        <v>0</v>
      </c>
      <c r="P44" s="56">
        <f>IF(Table19[Dark Only Discount]=1," ",AG65)</f>
        <v>0</v>
      </c>
      <c r="Q44" s="56">
        <f>IF(Table18[By Servings]=1,Table520[[#This Row],[Cases per Servings]]*4.54,Table520[[#This Row],[Cases]]*4.54)</f>
        <v>0</v>
      </c>
      <c r="S44" s="31"/>
    </row>
    <row r="45" spans="3:19" s="30" customFormat="1" ht="20.100000000000001" hidden="1" customHeight="1">
      <c r="C45" s="42">
        <v>54430</v>
      </c>
      <c r="D45" s="43" t="s">
        <v>44</v>
      </c>
      <c r="E45" s="44">
        <v>13.63</v>
      </c>
      <c r="F45" s="44" t="s">
        <v>59</v>
      </c>
      <c r="G45" s="44" t="s">
        <v>60</v>
      </c>
      <c r="H45" s="45" t="s">
        <v>8</v>
      </c>
      <c r="I45" s="46">
        <v>107</v>
      </c>
      <c r="J45" s="122"/>
      <c r="K45" s="132">
        <f>MROUND(Table520[[#This Row],[Servings Needed]],107)</f>
        <v>0</v>
      </c>
      <c r="L45" s="132">
        <f>Table520[[#This Row],[Svg. Rounded to the Nearest Case]]/Table520[[#This Row],[Avg. Sv. Per Case]]</f>
        <v>0</v>
      </c>
      <c r="M45" s="179"/>
      <c r="N45" s="47">
        <f>IF(Table18[By Servings]=1,Table520[[#This Row],[Cases per Servings]]*107,Table520[[#This Row],[Cases]]*107)</f>
        <v>0</v>
      </c>
      <c r="O45" s="48">
        <f>IF(Table19[Dark Only Discount]=1,AF57,AF66)</f>
        <v>0</v>
      </c>
      <c r="P45" s="56">
        <f>IF(Table19[Dark Only Discount]=1," ",AG66)</f>
        <v>0</v>
      </c>
      <c r="Q45" s="56">
        <f>IF(Table18[By Servings]=1,Table520[[#This Row],[Cases per Servings]]*4.54,Table520[[#This Row],[Cases]]*4.54)</f>
        <v>0</v>
      </c>
      <c r="S45" s="31"/>
    </row>
    <row r="46" spans="3:19" s="30" customFormat="1" ht="20.100000000000001" hidden="1" customHeight="1">
      <c r="C46" s="90"/>
      <c r="D46" s="91"/>
      <c r="E46" s="91"/>
      <c r="F46" s="91"/>
      <c r="G46" s="91"/>
      <c r="H46" s="92"/>
      <c r="I46" s="93"/>
      <c r="J46" s="93"/>
      <c r="K46" s="93"/>
      <c r="L46" s="134">
        <f>SUM([Cases per Servings])</f>
        <v>0</v>
      </c>
      <c r="M46" s="180">
        <f>SUM([Cases])</f>
        <v>0</v>
      </c>
      <c r="N46" s="102">
        <f>SUM([Total Servings])</f>
        <v>0</v>
      </c>
      <c r="O46" s="103">
        <f>SUBTOTAL(109,[DF $ Value])</f>
        <v>0</v>
      </c>
      <c r="P46" s="104">
        <f>SUM([DF Pounds WHITE])</f>
        <v>0</v>
      </c>
      <c r="Q46" s="104">
        <f>SUM([DF Pounds DARK])</f>
        <v>0</v>
      </c>
      <c r="R46" s="31"/>
    </row>
    <row r="47" spans="3:19" ht="15" customHeight="1">
      <c r="M47" s="5"/>
    </row>
    <row r="48" spans="3:19" ht="15" customHeight="1">
      <c r="I48" s="2"/>
      <c r="M48" s="5"/>
    </row>
    <row r="49" spans="9:34">
      <c r="I49" s="1"/>
      <c r="M49" s="5"/>
    </row>
    <row r="50" spans="9:34" s="7" customFormat="1">
      <c r="T50" s="5"/>
      <c r="U50" s="5"/>
      <c r="V50" s="5"/>
      <c r="W50" s="5"/>
      <c r="X50" s="5"/>
      <c r="Y50" s="5"/>
      <c r="Z50" s="4"/>
      <c r="AA50" s="5"/>
      <c r="AE50" s="5"/>
    </row>
    <row r="51" spans="9:34" s="7" customFormat="1" ht="31.2">
      <c r="T51" s="181" t="s">
        <v>80</v>
      </c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</row>
    <row r="52" spans="9:34" s="7" customFormat="1" ht="58.5" customHeight="1">
      <c r="T52" s="136" t="s">
        <v>0</v>
      </c>
      <c r="U52" s="137" t="s">
        <v>1</v>
      </c>
      <c r="V52" s="137" t="s">
        <v>53</v>
      </c>
      <c r="W52" s="137" t="s">
        <v>58</v>
      </c>
      <c r="X52" s="137" t="s">
        <v>57</v>
      </c>
      <c r="Y52" s="137" t="s">
        <v>2</v>
      </c>
      <c r="Z52" s="136" t="s">
        <v>62</v>
      </c>
      <c r="AA52" s="136" t="s">
        <v>71</v>
      </c>
      <c r="AB52" s="136" t="s">
        <v>72</v>
      </c>
      <c r="AC52" s="136" t="s">
        <v>73</v>
      </c>
      <c r="AD52" s="136" t="s">
        <v>9</v>
      </c>
      <c r="AE52" s="136" t="s">
        <v>10</v>
      </c>
      <c r="AF52" s="136" t="s">
        <v>55</v>
      </c>
      <c r="AG52" s="136" t="s">
        <v>79</v>
      </c>
      <c r="AH52" s="136" t="s">
        <v>66</v>
      </c>
    </row>
    <row r="53" spans="9:34" s="7" customFormat="1" ht="30" customHeight="1">
      <c r="T53" s="42">
        <v>54409</v>
      </c>
      <c r="U53" s="43" t="s">
        <v>40</v>
      </c>
      <c r="V53" s="44">
        <v>13.63</v>
      </c>
      <c r="W53" s="44" t="s">
        <v>59</v>
      </c>
      <c r="X53" s="44" t="s">
        <v>60</v>
      </c>
      <c r="Y53" s="45" t="s">
        <v>6</v>
      </c>
      <c r="Z53" s="46">
        <v>107</v>
      </c>
      <c r="AA53" s="128">
        <f>J41</f>
        <v>0</v>
      </c>
      <c r="AB53" s="138">
        <f>MROUND(Table52021[[#This Row],[Servings Needed]],107)</f>
        <v>0</v>
      </c>
      <c r="AC53" s="138">
        <f>Table52021[[#This Row],[Servings Rounded to the Nearest Case]]/Table52021[[#This Row],[Avg. Sv. Per Case]]</f>
        <v>0</v>
      </c>
      <c r="AD53" s="115">
        <f>IF(Table18[By Servings]=1,L41,M41)</f>
        <v>0</v>
      </c>
      <c r="AE53" s="47">
        <f>IF(Table18[By Servings]=1,Table52021[[#This Row],[Cases per Servings]]*107,Table52021[[#This Row],[Cases]]*107)</f>
        <v>0</v>
      </c>
      <c r="AF53" s="48">
        <f>IF(Table18[By Servings]=1,Table52021[[#This Row],[Cases per Servings]]*4.24,Table52021[[#This Row],[Cases]]*4.24)</f>
        <v>0</v>
      </c>
      <c r="AG53" s="56">
        <f>IF(Table18[By Servings]=1,Table52021[[#This Row],[Cases per Servings]]*10.05,Table52021[[#This Row],[Cases]]*10.05)</f>
        <v>0</v>
      </c>
      <c r="AH53" s="56">
        <f>IF(Table18[By Servings]=1,Table52021[[#This Row],[Cases per Servings]]*4.54,Table52021[[#This Row],[Cases]]*4.54)</f>
        <v>0</v>
      </c>
    </row>
    <row r="54" spans="9:34" s="7" customFormat="1" ht="30" customHeight="1">
      <c r="T54" s="42">
        <v>54410</v>
      </c>
      <c r="U54" s="43" t="s">
        <v>41</v>
      </c>
      <c r="V54" s="44">
        <v>13.63</v>
      </c>
      <c r="W54" s="44" t="s">
        <v>59</v>
      </c>
      <c r="X54" s="44" t="s">
        <v>60</v>
      </c>
      <c r="Y54" s="45" t="s">
        <v>7</v>
      </c>
      <c r="Z54" s="46">
        <v>107</v>
      </c>
      <c r="AA54" s="128">
        <f>J42</f>
        <v>0</v>
      </c>
      <c r="AB54" s="138">
        <f>MROUND(Table52021[[#This Row],[Servings Needed]],107)</f>
        <v>0</v>
      </c>
      <c r="AC54" s="138">
        <f>Table52021[[#This Row],[Servings Rounded to the Nearest Case]]/Table52021[[#This Row],[Avg. Sv. Per Case]]</f>
        <v>0</v>
      </c>
      <c r="AD54" s="115">
        <f>IF(Table18[By Servings]=1,L42,M42)</f>
        <v>0</v>
      </c>
      <c r="AE54" s="47">
        <f>IF(Table18[By Servings]=1,Table52021[[#This Row],[Cases per Servings]]*107,Table52021[[#This Row],[Cases]]*107)</f>
        <v>0</v>
      </c>
      <c r="AF54" s="48">
        <f>IF(Table18[By Servings]=1,Table52021[[#This Row],[Cases per Servings]]*4.24,Table52021[[#This Row],[Cases]]*4.24)</f>
        <v>0</v>
      </c>
      <c r="AG54" s="56">
        <f>IF(Table18[By Servings]=1,Table52021[[#This Row],[Cases per Servings]]*10.05,Table52021[[#This Row],[Cases]]*10.05)</f>
        <v>0</v>
      </c>
      <c r="AH54" s="56">
        <f>IF(Table18[By Servings]=1,Table52021[[#This Row],[Cases per Servings]]*4.54,Table52021[[#This Row],[Cases]]*4.54)</f>
        <v>0</v>
      </c>
    </row>
    <row r="55" spans="9:34" s="7" customFormat="1" ht="30" customHeight="1">
      <c r="T55" s="42">
        <v>54411</v>
      </c>
      <c r="U55" s="43" t="s">
        <v>42</v>
      </c>
      <c r="V55" s="44">
        <v>13.63</v>
      </c>
      <c r="W55" s="44" t="s">
        <v>59</v>
      </c>
      <c r="X55" s="44" t="s">
        <v>60</v>
      </c>
      <c r="Y55" s="45" t="s">
        <v>11</v>
      </c>
      <c r="Z55" s="46">
        <v>107</v>
      </c>
      <c r="AA55" s="128">
        <f>J43</f>
        <v>0</v>
      </c>
      <c r="AB55" s="138">
        <f>MROUND(Table52021[[#This Row],[Servings Needed]],107)</f>
        <v>0</v>
      </c>
      <c r="AC55" s="138">
        <f>Table52021[[#This Row],[Servings Rounded to the Nearest Case]]/Table52021[[#This Row],[Avg. Sv. Per Case]]</f>
        <v>0</v>
      </c>
      <c r="AD55" s="115">
        <f>IF(Table18[By Servings]=1,L43,M43)</f>
        <v>0</v>
      </c>
      <c r="AE55" s="47">
        <f>IF(Table18[By Servings]=1,Table52021[[#This Row],[Cases per Servings]]*107,Table52021[[#This Row],[Cases]]*107)</f>
        <v>0</v>
      </c>
      <c r="AF55" s="48">
        <f>IF(Table18[By Servings]=1,Table52021[[#This Row],[Cases per Servings]]*4.24,Table52021[[#This Row],[Cases]]*4.24)</f>
        <v>0</v>
      </c>
      <c r="AG55" s="56">
        <f>IF(Table18[By Servings]=1,Table52021[[#This Row],[Cases per Servings]]*10.05,Table52021[[#This Row],[Cases]]*10.05)</f>
        <v>0</v>
      </c>
      <c r="AH55" s="56">
        <f>IF(Table18[By Servings]=1,Table52021[[#This Row],[Cases per Servings]]*4.54,Table52021[[#This Row],[Cases]]*4.54)</f>
        <v>0</v>
      </c>
    </row>
    <row r="56" spans="9:34" s="7" customFormat="1" ht="30" customHeight="1">
      <c r="T56" s="42">
        <v>54412</v>
      </c>
      <c r="U56" s="43" t="s">
        <v>43</v>
      </c>
      <c r="V56" s="44">
        <v>13.63</v>
      </c>
      <c r="W56" s="44" t="s">
        <v>59</v>
      </c>
      <c r="X56" s="44" t="s">
        <v>60</v>
      </c>
      <c r="Y56" s="45" t="s">
        <v>8</v>
      </c>
      <c r="Z56" s="46">
        <v>107</v>
      </c>
      <c r="AA56" s="128">
        <f>J44</f>
        <v>0</v>
      </c>
      <c r="AB56" s="138">
        <f>MROUND(Table52021[[#This Row],[Servings Needed]],107)</f>
        <v>0</v>
      </c>
      <c r="AC56" s="138">
        <f>Table52021[[#This Row],[Servings Rounded to the Nearest Case]]/Table52021[[#This Row],[Avg. Sv. Per Case]]</f>
        <v>0</v>
      </c>
      <c r="AD56" s="115">
        <f>IF(Table18[By Servings]=1,L44,M44)</f>
        <v>0</v>
      </c>
      <c r="AE56" s="47">
        <f>IF(Table18[By Servings]=1,Table52021[[#This Row],[Cases per Servings]]*107,Table52021[[#This Row],[Cases]]*107)</f>
        <v>0</v>
      </c>
      <c r="AF56" s="48">
        <f>IF(Table18[By Servings]=1,Table52021[[#This Row],[Cases per Servings]]*4.24,Table52021[[#This Row],[Cases]]*4.24)</f>
        <v>0</v>
      </c>
      <c r="AG56" s="56">
        <f>IF(Table18[By Servings]=1,Table52021[[#This Row],[Cases per Servings]]*10.05,Table52021[[#This Row],[Cases]]*10.05)</f>
        <v>0</v>
      </c>
      <c r="AH56" s="56">
        <f>IF(Table18[By Servings]=1,Table52021[[#This Row],[Cases per Servings]]*4.54,Table52021[[#This Row],[Cases]]*4.54)</f>
        <v>0</v>
      </c>
    </row>
    <row r="57" spans="9:34" s="7" customFormat="1" ht="30" customHeight="1">
      <c r="T57" s="42">
        <v>54430</v>
      </c>
      <c r="U57" s="43" t="s">
        <v>44</v>
      </c>
      <c r="V57" s="44">
        <v>13.63</v>
      </c>
      <c r="W57" s="44" t="s">
        <v>59</v>
      </c>
      <c r="X57" s="44" t="s">
        <v>60</v>
      </c>
      <c r="Y57" s="45" t="s">
        <v>8</v>
      </c>
      <c r="Z57" s="46">
        <v>107</v>
      </c>
      <c r="AA57" s="128">
        <f>J45</f>
        <v>0</v>
      </c>
      <c r="AB57" s="138">
        <f>MROUND(Table52021[[#This Row],[Servings Needed]],107)</f>
        <v>0</v>
      </c>
      <c r="AC57" s="138">
        <f>Table52021[[#This Row],[Servings Rounded to the Nearest Case]]/Table52021[[#This Row],[Avg. Sv. Per Case]]</f>
        <v>0</v>
      </c>
      <c r="AD57" s="116">
        <f>IF(Table18[By Servings]=1,L45,M45)</f>
        <v>0</v>
      </c>
      <c r="AE57" s="47">
        <f>IF(Table18[By Servings]=1,Table52021[[#This Row],[Cases per Servings]]*107,Table52021[[#This Row],[Cases]]*107)</f>
        <v>0</v>
      </c>
      <c r="AF57" s="48">
        <f>IF(Table18[By Servings]=1,Table52021[[#This Row],[Cases per Servings]]*4.24,Table52021[[#This Row],[Cases]]*4.24)</f>
        <v>0</v>
      </c>
      <c r="AG57" s="56">
        <f>IF(Table18[By Servings]=1,Table52021[[#This Row],[Cases per Servings]]*10.05,Table52021[[#This Row],[Cases]]*10.05)</f>
        <v>0</v>
      </c>
      <c r="AH57" s="56">
        <f>IF(Table18[By Servings]=1,Table52021[[#This Row],[Cases per Servings]]*4.54,Table52021[[#This Row],[Cases]]*4.54)</f>
        <v>0</v>
      </c>
    </row>
    <row r="58" spans="9:34" s="7" customFormat="1" ht="30" customHeight="1">
      <c r="T58" s="90"/>
      <c r="U58" s="91"/>
      <c r="V58" s="91"/>
      <c r="W58" s="91"/>
      <c r="X58" s="91"/>
      <c r="Y58" s="92"/>
      <c r="Z58" s="93"/>
      <c r="AA58" s="93"/>
      <c r="AB58" s="93"/>
      <c r="AC58" s="134">
        <f>SUM([Cases per Servings])</f>
        <v>0</v>
      </c>
      <c r="AD58" s="101">
        <f>SUM([Cases])</f>
        <v>0</v>
      </c>
      <c r="AE58" s="102">
        <f>SUM([Total Servings])</f>
        <v>0</v>
      </c>
      <c r="AF58" s="103">
        <f>SUBTOTAL(109,[DF $ Value])</f>
        <v>0</v>
      </c>
      <c r="AG58" s="104">
        <f>SUM([Commercial Price WHITE pounds])</f>
        <v>0</v>
      </c>
      <c r="AH58" s="104">
        <f>SUM([DF Pounds DARK])</f>
        <v>0</v>
      </c>
    </row>
    <row r="59" spans="9:34" s="7" customFormat="1">
      <c r="T59" s="5"/>
      <c r="U59" s="5"/>
      <c r="V59" s="5"/>
      <c r="W59" s="5"/>
      <c r="X59" s="5"/>
      <c r="Y59" s="5"/>
      <c r="Z59" s="3"/>
      <c r="AA59" s="5"/>
      <c r="AE59" s="5"/>
    </row>
    <row r="60" spans="9:34" s="7" customFormat="1" ht="31.2">
      <c r="T60" s="182" t="s">
        <v>16</v>
      </c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</row>
    <row r="61" spans="9:34" s="7" customFormat="1" ht="30" customHeight="1">
      <c r="T61" s="117" t="s">
        <v>0</v>
      </c>
      <c r="U61" s="118" t="s">
        <v>1</v>
      </c>
      <c r="V61" s="118" t="s">
        <v>53</v>
      </c>
      <c r="W61" s="118" t="s">
        <v>58</v>
      </c>
      <c r="X61" s="118" t="s">
        <v>57</v>
      </c>
      <c r="Y61" s="118" t="s">
        <v>2</v>
      </c>
      <c r="Z61" s="117" t="s">
        <v>62</v>
      </c>
      <c r="AA61" s="117" t="s">
        <v>71</v>
      </c>
      <c r="AB61" s="117" t="s">
        <v>72</v>
      </c>
      <c r="AC61" s="117" t="s">
        <v>73</v>
      </c>
      <c r="AD61" s="117" t="s">
        <v>9</v>
      </c>
      <c r="AE61" s="117" t="s">
        <v>10</v>
      </c>
      <c r="AF61" s="117" t="s">
        <v>55</v>
      </c>
      <c r="AG61" s="117" t="s">
        <v>61</v>
      </c>
      <c r="AH61" s="117" t="s">
        <v>66</v>
      </c>
    </row>
    <row r="62" spans="9:34" s="7" customFormat="1" ht="30" customHeight="1">
      <c r="T62" s="42">
        <v>54409</v>
      </c>
      <c r="U62" s="43" t="s">
        <v>40</v>
      </c>
      <c r="V62" s="44">
        <v>13.63</v>
      </c>
      <c r="W62" s="44" t="s">
        <v>59</v>
      </c>
      <c r="X62" s="44" t="s">
        <v>60</v>
      </c>
      <c r="Y62" s="45" t="s">
        <v>6</v>
      </c>
      <c r="Z62" s="46">
        <v>107</v>
      </c>
      <c r="AA62" s="128">
        <f>J41</f>
        <v>0</v>
      </c>
      <c r="AB62" s="138">
        <f>MROUND(Table5202122[[#This Row],[Servings Needed]],107)</f>
        <v>0</v>
      </c>
      <c r="AC62" s="138">
        <f>Table5202122[[#This Row],[Servings Rounded to the Nearest Case]]/Table5202122[[#This Row],[Avg. Sv. Per Case]]</f>
        <v>0</v>
      </c>
      <c r="AD62" s="115">
        <f>IF(Table18[By Servings]=1,L41,M41)</f>
        <v>0</v>
      </c>
      <c r="AE62" s="47">
        <f>IF(Table18[By Servings]=1,Table5202122[[#This Row],[Cases per Servings]]*107,AD62*107)</f>
        <v>0</v>
      </c>
      <c r="AF62" s="48">
        <f>IF(Table18[By Servings]=1,Table5202122[[#This Row],[Cases per Servings]]*13.63,Table5202122[[#This Row],[Cases]]*13.63)</f>
        <v>0</v>
      </c>
      <c r="AG62" s="56">
        <f>IF(Table18[By Servings]=1,Table5202122[[#This Row],[Cases per Servings]]*10.05,Table5202122[[#This Row],[Cases]]*10.05)</f>
        <v>0</v>
      </c>
      <c r="AH62" s="56">
        <f>IF(Table18[By Servings]=1,Table5202122[[#This Row],[Cases per Servings]]*4.54,Table5202122[[#This Row],[Cases]]*4.54)</f>
        <v>0</v>
      </c>
    </row>
    <row r="63" spans="9:34" s="7" customFormat="1" ht="30" customHeight="1">
      <c r="T63" s="42">
        <v>54410</v>
      </c>
      <c r="U63" s="43" t="s">
        <v>41</v>
      </c>
      <c r="V63" s="44">
        <v>13.63</v>
      </c>
      <c r="W63" s="44" t="s">
        <v>59</v>
      </c>
      <c r="X63" s="44" t="s">
        <v>60</v>
      </c>
      <c r="Y63" s="45" t="s">
        <v>7</v>
      </c>
      <c r="Z63" s="46">
        <v>107</v>
      </c>
      <c r="AA63" s="128">
        <f>J42</f>
        <v>0</v>
      </c>
      <c r="AB63" s="138">
        <f>MROUND(Table5202122[[#This Row],[Servings Needed]],107)</f>
        <v>0</v>
      </c>
      <c r="AC63" s="138">
        <f>Table5202122[[#This Row],[Servings Rounded to the Nearest Case]]/Table5202122[[#This Row],[Avg. Sv. Per Case]]</f>
        <v>0</v>
      </c>
      <c r="AD63" s="115">
        <f>IF(Table18[By Servings]=1,L42,M42)</f>
        <v>0</v>
      </c>
      <c r="AE63" s="47">
        <f>IF(Table18[By Servings]=1,Table5202122[[#This Row],[Cases per Servings]]*107,AD63*107)</f>
        <v>0</v>
      </c>
      <c r="AF63" s="48">
        <f>IF(Table18[By Servings]=1,Table5202122[[#This Row],[Cases per Servings]]*13.63,Table5202122[[#This Row],[Cases]]*13.63)</f>
        <v>0</v>
      </c>
      <c r="AG63" s="56">
        <f>IF(Table18[By Servings]=1,Table5202122[[#This Row],[Cases per Servings]]*10.05,Table5202122[[#This Row],[Cases]]*10.05)</f>
        <v>0</v>
      </c>
      <c r="AH63" s="56">
        <f>IF(Table18[By Servings]=1,Table5202122[[#This Row],[Cases per Servings]]*4.54,Table5202122[[#This Row],[Cases]]*4.54)</f>
        <v>0</v>
      </c>
    </row>
    <row r="64" spans="9:34" s="7" customFormat="1" ht="30" customHeight="1">
      <c r="T64" s="42">
        <v>54411</v>
      </c>
      <c r="U64" s="43" t="s">
        <v>42</v>
      </c>
      <c r="V64" s="44">
        <v>13.63</v>
      </c>
      <c r="W64" s="44" t="s">
        <v>59</v>
      </c>
      <c r="X64" s="44" t="s">
        <v>60</v>
      </c>
      <c r="Y64" s="45" t="s">
        <v>11</v>
      </c>
      <c r="Z64" s="46">
        <v>107</v>
      </c>
      <c r="AA64" s="128">
        <f>J43</f>
        <v>0</v>
      </c>
      <c r="AB64" s="138">
        <f>MROUND(Table5202122[[#This Row],[Servings Needed]],107)</f>
        <v>0</v>
      </c>
      <c r="AC64" s="138">
        <f>Table5202122[[#This Row],[Servings Rounded to the Nearest Case]]/Table5202122[[#This Row],[Avg. Sv. Per Case]]</f>
        <v>0</v>
      </c>
      <c r="AD64" s="115">
        <f>IF(Table18[By Servings]=1,L43,M43)</f>
        <v>0</v>
      </c>
      <c r="AE64" s="47">
        <f>IF(Table18[By Servings]=1,Table5202122[[#This Row],[Cases per Servings]]*107,AD64*107)</f>
        <v>0</v>
      </c>
      <c r="AF64" s="48">
        <f>IF(Table18[By Servings]=1,Table5202122[[#This Row],[Cases per Servings]]*13.63,Table5202122[[#This Row],[Cases]]*13.63)</f>
        <v>0</v>
      </c>
      <c r="AG64" s="56">
        <f>IF(Table18[By Servings]=1,Table5202122[[#This Row],[Cases per Servings]]*10.05,Table5202122[[#This Row],[Cases]]*10.05)</f>
        <v>0</v>
      </c>
      <c r="AH64" s="56">
        <f>IF(Table18[By Servings]=1,Table5202122[[#This Row],[Cases per Servings]]*4.54,Table5202122[[#This Row],[Cases]]*4.54)</f>
        <v>0</v>
      </c>
    </row>
    <row r="65" spans="3:34" s="7" customFormat="1" ht="30" customHeight="1">
      <c r="T65" s="42">
        <v>54412</v>
      </c>
      <c r="U65" s="43" t="s">
        <v>43</v>
      </c>
      <c r="V65" s="44">
        <v>13.63</v>
      </c>
      <c r="W65" s="44" t="s">
        <v>59</v>
      </c>
      <c r="X65" s="44" t="s">
        <v>60</v>
      </c>
      <c r="Y65" s="45" t="s">
        <v>8</v>
      </c>
      <c r="Z65" s="46">
        <v>107</v>
      </c>
      <c r="AA65" s="128">
        <f>J44</f>
        <v>0</v>
      </c>
      <c r="AB65" s="138">
        <f>MROUND(Table5202122[[#This Row],[Servings Needed]],107)</f>
        <v>0</v>
      </c>
      <c r="AC65" s="138">
        <f>Table5202122[[#This Row],[Servings Rounded to the Nearest Case]]/Table5202122[[#This Row],[Avg. Sv. Per Case]]</f>
        <v>0</v>
      </c>
      <c r="AD65" s="115">
        <f>IF(Table18[By Servings]=1,L44,M44)</f>
        <v>0</v>
      </c>
      <c r="AE65" s="47">
        <f>IF(Table18[By Servings]=1,Table5202122[[#This Row],[Cases per Servings]]*107,AD65*107)</f>
        <v>0</v>
      </c>
      <c r="AF65" s="48">
        <f>IF(Table18[By Servings]=1,Table5202122[[#This Row],[Cases per Servings]]*13.63,Table5202122[[#This Row],[Cases]]*13.63)</f>
        <v>0</v>
      </c>
      <c r="AG65" s="56">
        <f>IF(Table18[By Servings]=1,Table5202122[[#This Row],[Cases per Servings]]*10.05,Table5202122[[#This Row],[Cases]]*10.05)</f>
        <v>0</v>
      </c>
      <c r="AH65" s="56">
        <f>IF(Table18[By Servings]=1,Table5202122[[#This Row],[Cases per Servings]]*4.54,Table5202122[[#This Row],[Cases]]*4.54)</f>
        <v>0</v>
      </c>
    </row>
    <row r="66" spans="3:34" s="7" customFormat="1" ht="30" customHeight="1">
      <c r="T66" s="42">
        <v>54430</v>
      </c>
      <c r="U66" s="43" t="s">
        <v>44</v>
      </c>
      <c r="V66" s="44">
        <v>13.63</v>
      </c>
      <c r="W66" s="44" t="s">
        <v>59</v>
      </c>
      <c r="X66" s="44" t="s">
        <v>60</v>
      </c>
      <c r="Y66" s="45" t="s">
        <v>8</v>
      </c>
      <c r="Z66" s="46">
        <v>107</v>
      </c>
      <c r="AA66" s="128">
        <f>J45</f>
        <v>0</v>
      </c>
      <c r="AB66" s="138">
        <f>MROUND(Table5202122[[#This Row],[Servings Needed]],107)</f>
        <v>0</v>
      </c>
      <c r="AC66" s="138">
        <f>Table5202122[[#This Row],[Servings Rounded to the Nearest Case]]/Table5202122[[#This Row],[Avg. Sv. Per Case]]</f>
        <v>0</v>
      </c>
      <c r="AD66" s="116">
        <f>IF(Table18[By Servings]=1,L45,M45)</f>
        <v>0</v>
      </c>
      <c r="AE66" s="47">
        <f>IF(Table18[By Servings]=1,Table5202122[[#This Row],[Cases per Servings]]*107,AD66*107)</f>
        <v>0</v>
      </c>
      <c r="AF66" s="48">
        <f>IF(Table18[By Servings]=1,Table5202122[[#This Row],[Cases per Servings]]*13.63,Table5202122[[#This Row],[Cases]]*13.63)</f>
        <v>0</v>
      </c>
      <c r="AG66" s="56">
        <f>IF(Table18[By Servings]=1,Table5202122[[#This Row],[Cases per Servings]]*10.05,Table5202122[[#This Row],[Cases]]*10.05)</f>
        <v>0</v>
      </c>
      <c r="AH66" s="56">
        <f>IF(Table18[By Servings]=1,Table5202122[[#This Row],[Cases per Servings]]*4.54,Table5202122[[#This Row],[Cases]]*4.54)</f>
        <v>0</v>
      </c>
    </row>
    <row r="67" spans="3:34" s="7" customFormat="1" ht="30" customHeight="1">
      <c r="T67" s="90"/>
      <c r="U67" s="91"/>
      <c r="V67" s="91"/>
      <c r="W67" s="91"/>
      <c r="X67" s="91"/>
      <c r="Y67" s="92"/>
      <c r="Z67" s="93"/>
      <c r="AA67" s="93"/>
      <c r="AB67" s="93"/>
      <c r="AC67" s="134">
        <f>SUM([Cases per Servings])</f>
        <v>0</v>
      </c>
      <c r="AD67" s="101">
        <f>SUM([Cases])</f>
        <v>0</v>
      </c>
      <c r="AE67" s="102">
        <f>SUM([Total Servings])</f>
        <v>0</v>
      </c>
      <c r="AF67" s="103">
        <f>SUBTOTAL(109,[DF $ Value])</f>
        <v>0</v>
      </c>
      <c r="AG67" s="104">
        <f>SUM([DF Pounds WHITE])</f>
        <v>0</v>
      </c>
      <c r="AH67" s="104">
        <f>SUM([DF Pounds DARK])</f>
        <v>0</v>
      </c>
    </row>
    <row r="68" spans="3:34" s="7" customFormat="1" ht="15" customHeight="1"/>
    <row r="69" spans="3:34" s="7" customFormat="1" ht="15" customHeight="1">
      <c r="T69" s="142" t="s">
        <v>83</v>
      </c>
      <c r="U69" s="144" t="s">
        <v>84</v>
      </c>
      <c r="W69" s="142" t="s">
        <v>81</v>
      </c>
      <c r="X69" s="144" t="s">
        <v>82</v>
      </c>
      <c r="AA69" s="88" t="s">
        <v>89</v>
      </c>
      <c r="AB69" s="5"/>
    </row>
    <row r="70" spans="3:34" s="7" customFormat="1" ht="15" customHeight="1">
      <c r="C70" s="5"/>
      <c r="D70" s="5"/>
      <c r="T70" s="146">
        <f>C9*0.6891</f>
        <v>0</v>
      </c>
      <c r="U70" s="147">
        <f>C9*0.3109</f>
        <v>0</v>
      </c>
      <c r="W70" s="146">
        <f>C9*0.689</f>
        <v>0</v>
      </c>
      <c r="X70" s="147">
        <f>C9*0.3112</f>
        <v>0</v>
      </c>
      <c r="AA70" s="157">
        <v>0</v>
      </c>
      <c r="AB70" s="5"/>
    </row>
    <row r="71" spans="3:34" ht="15" customHeight="1">
      <c r="T71" s="7"/>
      <c r="AA71" s="7"/>
      <c r="AB71" s="7"/>
      <c r="AD71" s="7"/>
      <c r="AE71" s="7"/>
      <c r="AF71" s="7"/>
      <c r="AG71" s="7"/>
    </row>
    <row r="72" spans="3:34" s="7" customFormat="1" ht="15" customHeight="1">
      <c r="T72" s="142" t="s">
        <v>87</v>
      </c>
      <c r="U72" s="144" t="s">
        <v>88</v>
      </c>
      <c r="V72" s="5"/>
      <c r="W72" s="142" t="s">
        <v>85</v>
      </c>
      <c r="X72" s="144" t="s">
        <v>86</v>
      </c>
      <c r="Y72" s="5"/>
      <c r="AA72" s="7" t="s">
        <v>74</v>
      </c>
      <c r="AB72" s="5"/>
    </row>
    <row r="73" spans="3:34" s="7" customFormat="1" ht="15" customHeight="1">
      <c r="T73" s="148">
        <f>Table2[Market Group 1 White]-((Table419[[#Totals],[DF Pounds WHITE]])+(Table520[[#Totals],[DF Pounds WHITE]]))</f>
        <v>0</v>
      </c>
      <c r="U73" s="147">
        <f>Table2[Market Group 1 Dark]-((Table52022[[#Totals],[DF Pounds DARK]])+(Table520[[#Totals],[DF Pounds DARK]]))</f>
        <v>0</v>
      </c>
      <c r="V73" s="5"/>
      <c r="W73" s="148">
        <f>Table223[Market Group 2 White]-((Table419[[#Totals],[DF Pounds WHITE]])+(Table520[[#Totals],[DF Pounds WHITE]]))</f>
        <v>0</v>
      </c>
      <c r="X73" s="147">
        <f>Table223[Market Group 2 Dark]-((Table52022[[#Totals],[DF Pounds DARK]])+(Table520[[#Totals],[DF Pounds DARK]]))</f>
        <v>0</v>
      </c>
      <c r="Y73" s="5"/>
      <c r="AA73" s="158">
        <v>0</v>
      </c>
      <c r="AB73" s="5"/>
    </row>
    <row r="74" spans="3:34" s="7" customFormat="1" ht="15" customHeight="1">
      <c r="U74" s="5"/>
      <c r="V74" s="5"/>
      <c r="W74" s="5"/>
      <c r="X74" s="5"/>
      <c r="Y74" s="5"/>
      <c r="Z74" s="5"/>
      <c r="AC74" s="5"/>
    </row>
    <row r="75" spans="3:34" s="7" customFormat="1" ht="15" customHeight="1">
      <c r="U75" s="5"/>
      <c r="V75" s="5"/>
      <c r="W75" s="5"/>
      <c r="AA75" s="13" t="s">
        <v>69</v>
      </c>
      <c r="AB75" s="5"/>
    </row>
    <row r="76" spans="3:34" s="7" customFormat="1" ht="15" customHeight="1">
      <c r="U76" s="5"/>
      <c r="V76" s="5"/>
      <c r="W76" s="5"/>
      <c r="AA76" s="149">
        <f>Table22[MG1: White Pounds Available]/21.28</f>
        <v>0</v>
      </c>
    </row>
    <row r="77" spans="3:34" s="7" customFormat="1" ht="15" customHeight="1">
      <c r="U77" s="5"/>
      <c r="V77" s="6"/>
      <c r="W77" s="5"/>
    </row>
    <row r="78" spans="3:34" s="7" customFormat="1" ht="15" customHeight="1">
      <c r="T78" s="9"/>
      <c r="U78" s="5"/>
      <c r="V78" s="5"/>
      <c r="W78" s="5"/>
      <c r="X78" s="6"/>
      <c r="Y78" s="5"/>
      <c r="AA78" s="14"/>
      <c r="AC78" s="5"/>
    </row>
    <row r="79" spans="3:34" s="7" customFormat="1" ht="15" customHeight="1">
      <c r="AA79" s="11" t="s">
        <v>15</v>
      </c>
      <c r="AC79" s="142" t="s">
        <v>75</v>
      </c>
      <c r="AD79" s="143" t="s">
        <v>49</v>
      </c>
      <c r="AE79" s="143" t="s">
        <v>76</v>
      </c>
      <c r="AF79" s="143" t="s">
        <v>77</v>
      </c>
      <c r="AG79" s="144" t="s">
        <v>78</v>
      </c>
    </row>
    <row r="80" spans="3:34" s="7" customFormat="1" ht="15" customHeight="1">
      <c r="AA80" s="150">
        <f>Table22[MG1: Dark Pounds Available]/34.98</f>
        <v>0</v>
      </c>
      <c r="AC80" s="139">
        <f>(Table419[[#Totals],[DF Pounds WHITE]]*0.3109)/0.6891</f>
        <v>0</v>
      </c>
      <c r="AD80" s="140">
        <f>AC80/34.98</f>
        <v>0</v>
      </c>
      <c r="AE80" s="145">
        <f>AD80*77</f>
        <v>0</v>
      </c>
      <c r="AF80" s="140">
        <f>MROUND(AE80,77)</f>
        <v>0</v>
      </c>
      <c r="AG80" s="141">
        <f>AF80/77</f>
        <v>0</v>
      </c>
    </row>
    <row r="81" spans="3:34" s="7" customFormat="1" ht="15" customHeight="1">
      <c r="D81" s="9"/>
      <c r="T81" s="9"/>
      <c r="U81" s="5"/>
      <c r="V81" s="5"/>
      <c r="W81" s="5"/>
      <c r="X81" s="6"/>
      <c r="Y81" s="5"/>
      <c r="AC81" s="5"/>
    </row>
    <row r="82" spans="3:34" s="7" customFormat="1" ht="15" customHeight="1">
      <c r="T82" s="5"/>
      <c r="U82" s="5"/>
      <c r="V82" s="5"/>
      <c r="X82" s="5"/>
      <c r="Y82" s="5"/>
      <c r="Z82" s="5"/>
      <c r="AA82" s="9" t="s">
        <v>70</v>
      </c>
      <c r="AB82" s="9" t="s">
        <v>14</v>
      </c>
      <c r="AC82" s="9" t="s">
        <v>19</v>
      </c>
      <c r="AD82" s="9" t="s">
        <v>20</v>
      </c>
      <c r="AE82" s="5"/>
      <c r="AF82" s="5"/>
      <c r="AG82" s="5"/>
      <c r="AH82" s="5"/>
    </row>
    <row r="83" spans="3:34" s="7" customFormat="1" ht="15" customHeight="1">
      <c r="T83" s="5"/>
      <c r="U83" s="5"/>
      <c r="V83" s="5"/>
      <c r="X83" s="5"/>
      <c r="Y83" s="5"/>
      <c r="Z83" s="5"/>
      <c r="AA83" s="10">
        <f>[White - Dark Formed Cases]*0</f>
        <v>0</v>
      </c>
      <c r="AB83" s="10">
        <f>MAX(AC83,AD83)</f>
        <v>0</v>
      </c>
      <c r="AC83" s="10">
        <f>Table2224[MG2: White Pounds Available]/10.05</f>
        <v>0</v>
      </c>
      <c r="AD83" s="10">
        <f>Table2224[MG 2: Dark Pounds Available]/4.54</f>
        <v>0</v>
      </c>
      <c r="AE83" s="5"/>
      <c r="AF83" s="5"/>
      <c r="AG83" s="5"/>
      <c r="AH83" s="5"/>
    </row>
    <row r="84" spans="3:34" s="7" customFormat="1" ht="15" customHeight="1">
      <c r="C84" s="14"/>
      <c r="D84" s="9"/>
    </row>
    <row r="85" spans="3:34" ht="15" customHeight="1">
      <c r="AA85" s="9" t="s">
        <v>70</v>
      </c>
      <c r="AB85" s="9" t="s">
        <v>14</v>
      </c>
      <c r="AC85" s="9" t="s">
        <v>19</v>
      </c>
      <c r="AD85" s="9" t="s">
        <v>20</v>
      </c>
    </row>
    <row r="86" spans="3:34" ht="15" customHeight="1">
      <c r="AA86" s="10">
        <f>[White - Dark Formed Cases]*0</f>
        <v>0</v>
      </c>
      <c r="AB86" s="10">
        <f>MIN(AC86,AD86)</f>
        <v>0</v>
      </c>
      <c r="AC86" s="10">
        <f>Table2224[MG2: White Pounds Available]/10.05</f>
        <v>0</v>
      </c>
      <c r="AD86" s="10">
        <f>Table2224[MG 2: Dark Pounds Available]/4.54</f>
        <v>0</v>
      </c>
    </row>
    <row r="87" spans="3:34" ht="15" customHeight="1"/>
    <row r="88" spans="3:34" ht="15" customHeight="1"/>
    <row r="89" spans="3:34" ht="15" customHeight="1">
      <c r="L89" s="5"/>
      <c r="M89" s="5"/>
    </row>
    <row r="90" spans="3:34" ht="15" customHeight="1">
      <c r="L90" s="5"/>
      <c r="M90" s="5"/>
    </row>
    <row r="91" spans="3:34" ht="15" customHeight="1"/>
    <row r="92" spans="3:34" ht="15" customHeight="1"/>
    <row r="93" spans="3:34" ht="15" customHeight="1"/>
    <row r="94" spans="3:34" ht="15" customHeight="1"/>
    <row r="95" spans="3:34" ht="15" customHeight="1"/>
    <row r="96" spans="3:3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</sheetData>
  <sheetProtection algorithmName="SHA-512" hashValue="f66+bx78bJxQLSP3BzHko0TVFXg9o0nBcsp4GMtrWqKObli/9bSC2hr8y5edHY4PaO6fbtBRSSHw7hMijMcjSg==" saltValue="fxJ8zRn9cUi+/OZoZUlnUA==" spinCount="100000" sheet="1" objects="1" scenarios="1" selectLockedCells="1"/>
  <mergeCells count="7">
    <mergeCell ref="T51:AH51"/>
    <mergeCell ref="T60:AH60"/>
    <mergeCell ref="C8:D8"/>
    <mergeCell ref="C9:D9"/>
    <mergeCell ref="C14:F14"/>
    <mergeCell ref="C33:F33"/>
    <mergeCell ref="C39:F39"/>
  </mergeCells>
  <conditionalFormatting sqref="C9:D9">
    <cfRule type="expression" dxfId="236" priority="1">
      <formula>$AA$70=1</formula>
    </cfRule>
  </conditionalFormatting>
  <printOptions horizontalCentered="1"/>
  <pageMargins left="0.25" right="0.25" top="0.25" bottom="0.25" header="0" footer="0"/>
  <pageSetup scale="49" orientation="landscape" horizontalDpi="4294967295" verticalDpi="4294967295" r:id="rId1"/>
  <colBreaks count="1" manualBreakCount="1">
    <brk id="8" max="1048575" man="1"/>
  </colBreaks>
  <ignoredErrors>
    <ignoredError sqref="K25:K29 K17:K23 N17:O29" calculatedColumn="1"/>
  </ignoredErrors>
  <drawing r:id="rId2"/>
  <legacyDrawing r:id="rId3"/>
  <tableParts count="16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E4:P6"/>
  <sheetViews>
    <sheetView workbookViewId="0">
      <selection activeCell="N5" sqref="N5:P6"/>
    </sheetView>
  </sheetViews>
  <sheetFormatPr defaultRowHeight="14.4"/>
  <cols>
    <col min="5" max="9" width="22.109375" customWidth="1"/>
    <col min="14" max="16" width="27.33203125" customWidth="1"/>
  </cols>
  <sheetData>
    <row r="4" spans="5:16" ht="15" thickBot="1"/>
    <row r="5" spans="5:16" ht="78" customHeight="1" thickBot="1">
      <c r="E5" s="159" t="s">
        <v>25</v>
      </c>
      <c r="F5" s="160" t="s">
        <v>52</v>
      </c>
      <c r="G5" s="161" t="s">
        <v>64</v>
      </c>
      <c r="H5" s="161" t="s">
        <v>65</v>
      </c>
      <c r="I5" s="162" t="s">
        <v>56</v>
      </c>
      <c r="N5" s="167" t="s">
        <v>26</v>
      </c>
      <c r="O5" s="168" t="s">
        <v>13</v>
      </c>
      <c r="P5" s="169" t="s">
        <v>12</v>
      </c>
    </row>
    <row r="6" spans="5:16" ht="24" thickBot="1">
      <c r="E6" s="163">
        <f>Table419[[#Totals],[Total Servings]]+Table52022[[#Totals],[Total Servings]]+Table520[[#Totals],[Total Servings]]</f>
        <v>0</v>
      </c>
      <c r="F6" s="164">
        <f>Table419[[#Totals],[DF $ Value]]+Table52022[[#Totals],[DF $ Value]]+Table520[[#Totals],[DF $ Value]]</f>
        <v>0</v>
      </c>
      <c r="G6" s="165">
        <f>Table419[[#Totals],[DF Pounds WHITE]]+Table520[[#Totals],[DF Pounds WHITE]]</f>
        <v>0</v>
      </c>
      <c r="H6" s="165">
        <f>Table52022[[#Totals],[DF Pounds DARK]]+Table520[[#Totals],[DF Pounds DARK]]</f>
        <v>0</v>
      </c>
      <c r="I6" s="166">
        <f>'Dashboard Tables'!$G$6:$G$6+'Dashboard Tables'!$H$6:$H$6</f>
        <v>0</v>
      </c>
      <c r="N6" s="170">
        <f>'Calculator by DF Pounds'!M14</f>
        <v>0</v>
      </c>
      <c r="O6" s="171">
        <f>'Calculator by DF Pounds'!M33</f>
        <v>0</v>
      </c>
      <c r="P6" s="172">
        <f>'Calculator by DF Pounds'!M39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 by DF Pounds</vt:lpstr>
      <vt:lpstr>Dashboard Tables</vt:lpstr>
      <vt:lpstr>'Calculator by DF Pounds'!Print_Area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Rodriguez</dc:creator>
  <cp:lastModifiedBy>Bonnie</cp:lastModifiedBy>
  <cp:lastPrinted>2019-01-17T00:23:17Z</cp:lastPrinted>
  <dcterms:created xsi:type="dcterms:W3CDTF">2018-08-29T21:17:54Z</dcterms:created>
  <dcterms:modified xsi:type="dcterms:W3CDTF">2019-02-05T20:00:27Z</dcterms:modified>
</cp:coreProperties>
</file>