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616" yWindow="65416" windowWidth="24240" windowHeight="13740" activeTab="1"/>
  </bookViews>
  <sheets>
    <sheet name="Servings to DF Pounds" sheetId="1" r:id="rId1"/>
    <sheet name="Cases to DF Pounds" sheetId="2" r:id="rId2"/>
    <sheet name="Dashboard Tables (SERVINGS)" sheetId="3" state="hidden" r:id="rId3"/>
    <sheet name="Dashboard Tables (DF POUNDS)" sheetId="4" state="hidden" r:id="rId4"/>
  </sheets>
  <definedNames>
    <definedName name="_xlnm.Print_Area" localSheetId="1">'Cases to DF Pounds'!$C$1:$N$56</definedName>
    <definedName name="_xlnm.Print_Area" localSheetId="0">'Servings to DF Pounds'!$C$1:$P$56</definedName>
    <definedName name="switch" localSheetId="1">#REF!</definedName>
    <definedName name="switch" localSheetId="2">#REF!</definedName>
    <definedName name="switch">#REF!</definedName>
  </definedNames>
  <calcPr fullCalcOnLoad="1"/>
</workbook>
</file>

<file path=xl/sharedStrings.xml><?xml version="1.0" encoding="utf-8"?>
<sst xmlns="http://schemas.openxmlformats.org/spreadsheetml/2006/main" count="403" uniqueCount="125">
  <si>
    <t>Item Code</t>
  </si>
  <si>
    <t>Product Description</t>
  </si>
  <si>
    <t>Avg. Wt. Per Serving</t>
  </si>
  <si>
    <t>4.13 oz</t>
  </si>
  <si>
    <t>10/.30oz = 3 oz</t>
  </si>
  <si>
    <t>5/.60 = 3 oz</t>
  </si>
  <si>
    <t>3.00 oz</t>
  </si>
  <si>
    <t>Total Servings</t>
  </si>
  <si>
    <t>Truly Whole Muscle Chicken Products</t>
  </si>
  <si>
    <t>White Meat Only Chicken Products</t>
  </si>
  <si>
    <t>Made From All White Meat Chicken Products (No Soy / No Fillers)</t>
  </si>
  <si>
    <t>Total Sevings Provided</t>
  </si>
  <si>
    <t>Whole Muscle Breaded Chicken Breast Fillet</t>
  </si>
  <si>
    <t>Whole Muscle Breaded Chicken Breast Slider Fillet</t>
  </si>
  <si>
    <t>Whole Muscle Breaded Boneless Chicken Wing/Breast Chunk</t>
  </si>
  <si>
    <t>Whole Muscle Breaded Chicken Breast Tenderloin</t>
  </si>
  <si>
    <t>Breaded W/D Popcorn Chicken</t>
  </si>
  <si>
    <t>Breaded W/D Chicken Nugget</t>
  </si>
  <si>
    <t>Breaded W/D Chicken Slider Patty</t>
  </si>
  <si>
    <t>Breaded W/D Chicken Patty</t>
  </si>
  <si>
    <t>4.07 oz</t>
  </si>
  <si>
    <t>2/1.97 = 3.94 oz</t>
  </si>
  <si>
    <t>4/1.02 = 4.08 oz</t>
  </si>
  <si>
    <t>DF $ Value Per Case</t>
  </si>
  <si>
    <t>Avg. Servings Per Case</t>
  </si>
  <si>
    <t>DF $ Value</t>
  </si>
  <si>
    <t>DF Pounds Dark Per Case</t>
  </si>
  <si>
    <t>DF Pounds White Per Case</t>
  </si>
  <si>
    <t>10.05 lb</t>
  </si>
  <si>
    <t>4.54 lb</t>
  </si>
  <si>
    <t>DF Pounds WHITE</t>
  </si>
  <si>
    <t>DF Pounds DARK</t>
  </si>
  <si>
    <t>21.28 lb.</t>
  </si>
  <si>
    <t>Servings Needed</t>
  </si>
  <si>
    <t xml:space="preserve">Dark Servings </t>
  </si>
  <si>
    <t>Dark Servings Rounded to nearest Case</t>
  </si>
  <si>
    <t>Dark Cases Rounded</t>
  </si>
  <si>
    <t>Svg. Rounded by Case</t>
  </si>
  <si>
    <t>Dark Meat Breakfast Sausage Patty</t>
  </si>
  <si>
    <t>Popper Dark Meat Formed Cases</t>
  </si>
  <si>
    <t>Sausage Dark Meat Formed Cases</t>
  </si>
  <si>
    <t>1.37 oz</t>
  </si>
  <si>
    <t>Breaded W/D Chicken Tenders</t>
  </si>
  <si>
    <t>3/1.00 oz = 3 oz</t>
  </si>
  <si>
    <t>Breaded W/D Natural Shape Chicken Patty</t>
  </si>
  <si>
    <t>53.30 lb.</t>
  </si>
  <si>
    <t>Total DF                    $ Value</t>
  </si>
  <si>
    <t>Finished Cases</t>
  </si>
  <si>
    <t>Dark Pounds Needed to Balance Order</t>
  </si>
  <si>
    <t xml:space="preserve"> Sausage Dark Cases</t>
  </si>
  <si>
    <t>Popper Dark Cases</t>
  </si>
  <si>
    <t>Total DF Pounds to Divert:</t>
  </si>
  <si>
    <t>Sausage Patty Cases Required:</t>
  </si>
  <si>
    <t>Chicken Popper Cases Required:</t>
  </si>
  <si>
    <t>Dark Meat DF Pounds Required</t>
  </si>
  <si>
    <t>33.92 lb.</t>
  </si>
  <si>
    <t xml:space="preserve">  </t>
  </si>
  <si>
    <t>Sausage Patty Servings Required:</t>
  </si>
  <si>
    <t>Chicken Popper Servings Required:</t>
  </si>
  <si>
    <t>Mango Jalapeno Meatball Cases</t>
  </si>
  <si>
    <t>Garlic Basil Meatball Cases</t>
  </si>
  <si>
    <t>Garlic Basil Chicken Meatballs with Mozzarella</t>
  </si>
  <si>
    <t>Jalpeno Mango Chicken  with Monterrey Jack Cheese</t>
  </si>
  <si>
    <t>5/.52oz= 2.6 oz</t>
  </si>
  <si>
    <t>Garlic Basil Meatballs Cases Required:</t>
  </si>
  <si>
    <t>Jalapeno Mango Meatball Cases Required:</t>
  </si>
  <si>
    <t>Garlic Basil Meatball  Cases</t>
  </si>
  <si>
    <t>Garlic Basil Meatballs Servings Required:</t>
  </si>
  <si>
    <t>Jalapeno Mango Meatball Servings Required:</t>
  </si>
  <si>
    <t>39.27 lb.</t>
  </si>
  <si>
    <t>38.59 lb.</t>
  </si>
  <si>
    <t>4.16 oz</t>
  </si>
  <si>
    <t>2/2.02 = 4.04 oz</t>
  </si>
  <si>
    <t>4/1.05= 4.20 oz</t>
  </si>
  <si>
    <t>Dark Meat Only Portioned Chicken Products</t>
  </si>
  <si>
    <r>
      <rPr>
        <b/>
        <i/>
        <sz val="12"/>
        <color indexed="10"/>
        <rFont val="Calibri"/>
        <family val="2"/>
      </rPr>
      <t>Spicy</t>
    </r>
    <r>
      <rPr>
        <sz val="12"/>
        <rFont val="Calibri"/>
        <family val="2"/>
      </rPr>
      <t xml:space="preserve"> Breaded W/D Popcorn Chicken</t>
    </r>
  </si>
  <si>
    <r>
      <rPr>
        <b/>
        <i/>
        <sz val="12"/>
        <color indexed="10"/>
        <rFont val="Calibri"/>
        <family val="2"/>
      </rPr>
      <t>Spicy</t>
    </r>
    <r>
      <rPr>
        <sz val="12"/>
        <rFont val="Calibri"/>
        <family val="2"/>
      </rPr>
      <t xml:space="preserve"> Breaded W/D Chicken Patty</t>
    </r>
  </si>
  <si>
    <r>
      <rPr>
        <b/>
        <i/>
        <sz val="12"/>
        <color indexed="10"/>
        <rFont val="Calibri"/>
        <family val="2"/>
      </rPr>
      <t>Spicy</t>
    </r>
    <r>
      <rPr>
        <sz val="12"/>
        <rFont val="Calibri"/>
        <family val="2"/>
      </rPr>
      <t xml:space="preserve"> W/D Natural Shape Chicken Patty</t>
    </r>
  </si>
  <si>
    <r>
      <rPr>
        <b/>
        <i/>
        <sz val="12"/>
        <color indexed="10"/>
        <rFont val="Calibri"/>
        <family val="2"/>
      </rPr>
      <t xml:space="preserve">Spicy </t>
    </r>
    <r>
      <rPr>
        <sz val="12"/>
        <rFont val="Calibri"/>
        <family val="2"/>
      </rPr>
      <t>Breaded W/D Chicken Patty</t>
    </r>
  </si>
  <si>
    <t>White - Dark Meat Portioned Chicken Products</t>
  </si>
  <si>
    <t>Artisan Whole Muscle Breaded Chicken Breast Fillet</t>
  </si>
  <si>
    <r>
      <t xml:space="preserve">Whole Muscle Artisan </t>
    </r>
    <r>
      <rPr>
        <b/>
        <i/>
        <sz val="12"/>
        <color indexed="10"/>
        <rFont val="Calibri"/>
        <family val="2"/>
      </rPr>
      <t>Spicy</t>
    </r>
    <r>
      <rPr>
        <sz val="12"/>
        <rFont val="Calibri"/>
        <family val="2"/>
      </rPr>
      <t xml:space="preserve"> Breaded  Chicken Breast Fillet</t>
    </r>
  </si>
  <si>
    <t>Artisan Whole Muscle Breaded Chicken Breast Slider Fillet</t>
  </si>
  <si>
    <t>Artisan Whole Muscle Breaded Boneless Chicken Wing/Breast Chunk</t>
  </si>
  <si>
    <r>
      <t>Whole Muscle Artisan</t>
    </r>
    <r>
      <rPr>
        <b/>
        <i/>
        <sz val="12"/>
        <color indexed="10"/>
        <rFont val="Calibri"/>
        <family val="2"/>
      </rPr>
      <t xml:space="preserve"> Spicy</t>
    </r>
    <r>
      <rPr>
        <sz val="12"/>
        <rFont val="Calibri"/>
        <family val="2"/>
      </rPr>
      <t xml:space="preserve"> Breaded Boneless Chicken Wing/Breast Chunk</t>
    </r>
  </si>
  <si>
    <t>Artisan Whole Muscle Breaded Chicken Breast Tenderloin</t>
  </si>
  <si>
    <r>
      <t>Whole Muscle Artisan</t>
    </r>
    <r>
      <rPr>
        <b/>
        <i/>
        <sz val="12"/>
        <color indexed="10"/>
        <rFont val="Calibri"/>
        <family val="2"/>
      </rPr>
      <t xml:space="preserve"> Spicy</t>
    </r>
    <r>
      <rPr>
        <sz val="12"/>
        <rFont val="Calibri"/>
        <family val="2"/>
      </rPr>
      <t xml:space="preserve"> Breaded Chicken Breast Tenderloin</t>
    </r>
  </si>
  <si>
    <t>Artisan Breaded All White Meat Chicken Tender</t>
  </si>
  <si>
    <t>Artisan Breaded All White Meat Chicken Patty</t>
  </si>
  <si>
    <t>Artisan Breaded All White Meat Chicken Nugget</t>
  </si>
  <si>
    <r>
      <t>Artisan</t>
    </r>
    <r>
      <rPr>
        <b/>
        <i/>
        <sz val="12"/>
        <color indexed="10"/>
        <rFont val="Calibri"/>
        <family val="2"/>
      </rPr>
      <t xml:space="preserve"> Spicy</t>
    </r>
    <r>
      <rPr>
        <sz val="12"/>
        <rFont val="Calibri"/>
        <family val="2"/>
      </rPr>
      <t xml:space="preserve"> Breaded All White Meat Chicken Patty</t>
    </r>
  </si>
  <si>
    <r>
      <t>Artisan</t>
    </r>
    <r>
      <rPr>
        <b/>
        <i/>
        <sz val="12"/>
        <color indexed="10"/>
        <rFont val="Calibri"/>
        <family val="2"/>
      </rPr>
      <t xml:space="preserve"> Spicy</t>
    </r>
    <r>
      <rPr>
        <sz val="12"/>
        <rFont val="Calibri"/>
        <family val="2"/>
      </rPr>
      <t xml:space="preserve"> Breaded All White Meat Chicken Tender</t>
    </r>
  </si>
  <si>
    <t>Artisan Breaded Dark Meat Chicken Popper</t>
  </si>
  <si>
    <t>4.18 oz</t>
  </si>
  <si>
    <t>2/2.07 = 4.14 oz</t>
  </si>
  <si>
    <t>1.97 oz</t>
  </si>
  <si>
    <t>2.07 oz</t>
  </si>
  <si>
    <t>2.02 oz</t>
  </si>
  <si>
    <t>4/1.03 = 4.12 oz</t>
  </si>
  <si>
    <t>4/1.05 = 4.20 oz</t>
  </si>
  <si>
    <t>3/1.41 oz = 4.23 oz</t>
  </si>
  <si>
    <t>4.19 oz</t>
  </si>
  <si>
    <t>5/0.84  oz = 4.20 oz</t>
  </si>
  <si>
    <t>10/.42 oz = 4.20 oz</t>
  </si>
  <si>
    <t xml:space="preserve">1.50 oz </t>
  </si>
  <si>
    <t>Jalpeno Mango Chicken Meatballs with Monterrey Jack Cheese</t>
  </si>
  <si>
    <t>Spicy Breaded W/D Chicken Paty Sandwich</t>
  </si>
  <si>
    <t>Breaded W/D Breaded Chiicken Patty Mini-Waffle Sandwich</t>
  </si>
  <si>
    <t>Individually Wrapped Sandwiches and Trays - CN Labeled</t>
  </si>
  <si>
    <t xml:space="preserve">Breaded W/D Chicken Patty Sandwich </t>
  </si>
  <si>
    <t>Breaded W/D Chicken Tenders (3) with Bread Stick - IW Tray</t>
  </si>
  <si>
    <t>Breaded W/D Chicken Tenders (3) Marinara, with Garlic Breadstick - IW Tray</t>
  </si>
  <si>
    <t>4.10 oz</t>
  </si>
  <si>
    <t>4.40 oz</t>
  </si>
  <si>
    <t>6.99 oz</t>
  </si>
  <si>
    <t>5.07 lb</t>
  </si>
  <si>
    <t>2.29 lb</t>
  </si>
  <si>
    <t>4.23 lb</t>
  </si>
  <si>
    <t>1.91 lb</t>
  </si>
  <si>
    <t>7.51 lb</t>
  </si>
  <si>
    <t>3.40 lb</t>
  </si>
  <si>
    <r>
      <t xml:space="preserve">Rich-Fil-YAY! </t>
    </r>
    <r>
      <rPr>
        <b/>
        <i/>
        <sz val="12"/>
        <color indexed="17"/>
        <rFont val="Calibri"/>
        <family val="2"/>
      </rPr>
      <t>Dill Seasoned</t>
    </r>
    <r>
      <rPr>
        <sz val="12"/>
        <rFont val="Calibri"/>
        <family val="2"/>
      </rPr>
      <t xml:space="preserve"> Breaded Chicken Breast Fillet</t>
    </r>
  </si>
  <si>
    <r>
      <t>Rich-Fil-YAY!</t>
    </r>
    <r>
      <rPr>
        <b/>
        <i/>
        <sz val="12"/>
        <color indexed="17"/>
        <rFont val="Calibri"/>
        <family val="2"/>
      </rPr>
      <t xml:space="preserve"> Dill Seasoned </t>
    </r>
    <r>
      <rPr>
        <sz val="12"/>
        <rFont val="Calibri"/>
        <family val="2"/>
      </rPr>
      <t>Breaded Chicken Breast Slider Fillet</t>
    </r>
  </si>
  <si>
    <r>
      <t>Rich-Fil-YAY!</t>
    </r>
    <r>
      <rPr>
        <b/>
        <i/>
        <sz val="12"/>
        <color indexed="17"/>
        <rFont val="Calibri"/>
        <family val="2"/>
      </rPr>
      <t>Dill Seasoned</t>
    </r>
    <r>
      <rPr>
        <sz val="12"/>
        <rFont val="Calibri"/>
        <family val="2"/>
      </rPr>
      <t xml:space="preserve"> Breaded Boneless Chicken Wing/Breast Chunk</t>
    </r>
  </si>
  <si>
    <r>
      <t>Rich-Fil-YAY!</t>
    </r>
    <r>
      <rPr>
        <b/>
        <i/>
        <sz val="12"/>
        <color indexed="17"/>
        <rFont val="Calibri"/>
        <family val="2"/>
      </rPr>
      <t>Dill Seasoned</t>
    </r>
    <r>
      <rPr>
        <sz val="12"/>
        <rFont val="Calibri"/>
        <family val="2"/>
      </rPr>
      <t xml:space="preserve"> Breaded Chicken Breast Fillet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</si>
</sst>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.##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28"/>
      <color indexed="8"/>
      <name val="Century Gothic"/>
      <family val="2"/>
    </font>
    <font>
      <sz val="14"/>
      <color indexed="8"/>
      <name val="Calibri"/>
      <family val="2"/>
    </font>
    <font>
      <b/>
      <i/>
      <sz val="24"/>
      <color indexed="9"/>
      <name val="Calibri"/>
      <family val="2"/>
    </font>
    <font>
      <b/>
      <sz val="18"/>
      <color indexed="8"/>
      <name val="Calibri"/>
      <family val="2"/>
    </font>
    <font>
      <b/>
      <i/>
      <sz val="26"/>
      <color indexed="9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i/>
      <sz val="22"/>
      <color indexed="9"/>
      <name val="Calibri"/>
      <family val="2"/>
    </font>
    <font>
      <b/>
      <i/>
      <sz val="20"/>
      <color indexed="9"/>
      <name val="Calibri"/>
      <family val="2"/>
    </font>
    <font>
      <b/>
      <i/>
      <sz val="18"/>
      <color indexed="9"/>
      <name val="Calibri"/>
      <family val="2"/>
    </font>
    <font>
      <b/>
      <sz val="36"/>
      <color indexed="8"/>
      <name val="Calibri"/>
      <family val="2"/>
    </font>
    <font>
      <b/>
      <sz val="26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4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sz val="4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28"/>
      <color theme="1"/>
      <name val="Century Gothic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sz val="12"/>
      <color theme="1"/>
      <name val="Calibri"/>
      <family val="2"/>
    </font>
    <font>
      <b/>
      <i/>
      <sz val="26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b/>
      <i/>
      <sz val="22"/>
      <color theme="0"/>
      <name val="Calibri"/>
      <family val="2"/>
    </font>
    <font>
      <b/>
      <sz val="14"/>
      <color theme="1"/>
      <name val="Calibri"/>
      <family val="2"/>
    </font>
    <font>
      <b/>
      <i/>
      <sz val="24"/>
      <color theme="0"/>
      <name val="Calibri"/>
      <family val="2"/>
    </font>
    <font>
      <b/>
      <i/>
      <sz val="20"/>
      <color theme="0"/>
      <name val="Calibri"/>
      <family val="2"/>
    </font>
    <font>
      <b/>
      <i/>
      <sz val="18"/>
      <color theme="0"/>
      <name val="Calibri"/>
      <family val="2"/>
    </font>
    <font>
      <b/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rgb="FF000000"/>
      <name val="Calibri"/>
      <family val="2"/>
    </font>
    <font>
      <b/>
      <sz val="2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45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rgb="FFF3961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thin">
        <color theme="4"/>
      </top>
      <bottom style="medium"/>
    </border>
    <border>
      <left style="medium"/>
      <right/>
      <top style="medium"/>
      <bottom/>
    </border>
    <border>
      <left/>
      <right style="medium"/>
      <top style="thin">
        <color theme="4"/>
      </top>
      <bottom style="medium"/>
    </border>
    <border>
      <left style="medium"/>
      <right style="medium"/>
      <top style="thin">
        <color theme="4"/>
      </top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43" fontId="0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 vertical="center" wrapText="1"/>
      <protection/>
    </xf>
    <xf numFmtId="0" fontId="68" fillId="0" borderId="0" xfId="0" applyFont="1" applyAlignment="1" applyProtection="1">
      <alignment horizontal="center" vertical="top"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165" fontId="15" fillId="0" borderId="10" xfId="44" applyNumberFormat="1" applyFont="1" applyFill="1" applyBorder="1" applyAlignment="1" applyProtection="1">
      <alignment horizontal="left" vertical="center"/>
      <protection/>
    </xf>
    <xf numFmtId="2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2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2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165" fontId="15" fillId="0" borderId="11" xfId="44" applyNumberFormat="1" applyFont="1" applyBorder="1" applyAlignment="1" applyProtection="1">
      <alignment horizontal="left" vertical="center"/>
      <protection/>
    </xf>
    <xf numFmtId="2" fontId="15" fillId="0" borderId="11" xfId="0" applyNumberFormat="1" applyFont="1" applyBorder="1" applyAlignment="1" applyProtection="1">
      <alignment horizontal="left" vertical="center"/>
      <protection/>
    </xf>
    <xf numFmtId="0" fontId="15" fillId="0" borderId="11" xfId="56" applyNumberFormat="1" applyFont="1" applyBorder="1" applyAlignment="1" applyProtection="1">
      <alignment horizontal="center" vertical="center"/>
      <protection/>
    </xf>
    <xf numFmtId="164" fontId="15" fillId="34" borderId="11" xfId="42" applyNumberFormat="1" applyFont="1" applyFill="1" applyBorder="1" applyAlignment="1" applyProtection="1">
      <alignment horizontal="center" vertical="center"/>
      <protection/>
    </xf>
    <xf numFmtId="44" fontId="15" fillId="34" borderId="11" xfId="44" applyFont="1" applyFill="1" applyBorder="1" applyAlignment="1" applyProtection="1">
      <alignment horizontal="center" vertical="center"/>
      <protection/>
    </xf>
    <xf numFmtId="43" fontId="0" fillId="0" borderId="0" xfId="42" applyFont="1" applyAlignment="1" applyProtection="1">
      <alignment horizontal="center" vertical="center"/>
      <protection/>
    </xf>
    <xf numFmtId="1" fontId="72" fillId="35" borderId="0" xfId="0" applyNumberFormat="1" applyFont="1" applyFill="1" applyBorder="1" applyAlignment="1" applyProtection="1">
      <alignment horizontal="center" vertical="center"/>
      <protection/>
    </xf>
    <xf numFmtId="1" fontId="72" fillId="35" borderId="0" xfId="0" applyNumberFormat="1" applyFont="1" applyFill="1" applyBorder="1" applyAlignment="1" applyProtection="1">
      <alignment vertical="center"/>
      <protection/>
    </xf>
    <xf numFmtId="43" fontId="15" fillId="0" borderId="11" xfId="42" applyFont="1" applyBorder="1" applyAlignment="1" applyProtection="1">
      <alignment horizontal="left" vertical="center"/>
      <protection/>
    </xf>
    <xf numFmtId="43" fontId="15" fillId="0" borderId="11" xfId="42" applyFont="1" applyBorder="1" applyAlignment="1" applyProtection="1">
      <alignment/>
      <protection/>
    </xf>
    <xf numFmtId="1" fontId="72" fillId="36" borderId="0" xfId="0" applyNumberFormat="1" applyFont="1" applyFill="1" applyBorder="1" applyAlignment="1" applyProtection="1">
      <alignment horizontal="center" vertical="center"/>
      <protection/>
    </xf>
    <xf numFmtId="43" fontId="15" fillId="0" borderId="10" xfId="42" applyFont="1" applyFill="1" applyBorder="1" applyAlignment="1" applyProtection="1">
      <alignment horizontal="left" vertical="center"/>
      <protection/>
    </xf>
    <xf numFmtId="43" fontId="15" fillId="0" borderId="11" xfId="42" applyFont="1" applyFill="1" applyBorder="1" applyAlignment="1" applyProtection="1">
      <alignment horizontal="left" vertical="center"/>
      <protection/>
    </xf>
    <xf numFmtId="0" fontId="15" fillId="0" borderId="11" xfId="56" applyFont="1" applyFill="1" applyBorder="1" applyAlignment="1" applyProtection="1">
      <alignment horizontal="center" vertical="center"/>
      <protection/>
    </xf>
    <xf numFmtId="0" fontId="15" fillId="0" borderId="11" xfId="56" applyFont="1" applyFill="1" applyBorder="1" applyAlignment="1" applyProtection="1">
      <alignment horizontal="center"/>
      <protection/>
    </xf>
    <xf numFmtId="1" fontId="15" fillId="0" borderId="10" xfId="56" applyNumberFormat="1" applyFont="1" applyFill="1" applyBorder="1" applyAlignment="1" applyProtection="1">
      <alignment horizontal="center" vertical="center"/>
      <protection/>
    </xf>
    <xf numFmtId="164" fontId="15" fillId="34" borderId="10" xfId="42" applyNumberFormat="1" applyFont="1" applyFill="1" applyBorder="1" applyAlignment="1" applyProtection="1">
      <alignment vertical="center"/>
      <protection/>
    </xf>
    <xf numFmtId="44" fontId="15" fillId="34" borderId="10" xfId="44" applyFont="1" applyFill="1" applyBorder="1" applyAlignment="1" applyProtection="1">
      <alignment horizontal="center" vertical="center"/>
      <protection/>
    </xf>
    <xf numFmtId="0" fontId="14" fillId="5" borderId="13" xfId="0" applyFont="1" applyFill="1" applyBorder="1" applyAlignment="1" applyProtection="1">
      <alignment horizontal="left" vertical="center"/>
      <protection/>
    </xf>
    <xf numFmtId="0" fontId="15" fillId="5" borderId="14" xfId="0" applyFont="1" applyFill="1" applyBorder="1" applyAlignment="1" applyProtection="1">
      <alignment vertical="center"/>
      <protection/>
    </xf>
    <xf numFmtId="2" fontId="15" fillId="5" borderId="14" xfId="0" applyNumberFormat="1" applyFont="1" applyFill="1" applyBorder="1" applyAlignment="1" applyProtection="1">
      <alignment horizontal="left" vertical="center"/>
      <protection/>
    </xf>
    <xf numFmtId="0" fontId="15" fillId="5" borderId="14" xfId="56" applyFont="1" applyFill="1" applyBorder="1" applyAlignment="1" applyProtection="1">
      <alignment horizontal="center"/>
      <protection/>
    </xf>
    <xf numFmtId="0" fontId="73" fillId="5" borderId="14" xfId="0" applyFont="1" applyFill="1" applyBorder="1" applyAlignment="1" applyProtection="1">
      <alignment horizontal="center" vertical="center" wrapText="1"/>
      <protection/>
    </xf>
    <xf numFmtId="43" fontId="73" fillId="5" borderId="14" xfId="42" applyFont="1" applyFill="1" applyBorder="1" applyAlignment="1" applyProtection="1">
      <alignment horizontal="left" vertical="center" wrapText="1"/>
      <protection/>
    </xf>
    <xf numFmtId="43" fontId="73" fillId="5" borderId="14" xfId="42" applyFont="1" applyFill="1" applyBorder="1" applyAlignment="1" applyProtection="1">
      <alignment horizontal="center" vertical="center" wrapText="1"/>
      <protection/>
    </xf>
    <xf numFmtId="43" fontId="73" fillId="5" borderId="15" xfId="42" applyFont="1" applyFill="1" applyBorder="1" applyAlignment="1" applyProtection="1">
      <alignment horizontal="center" vertical="center" wrapText="1"/>
      <protection/>
    </xf>
    <xf numFmtId="43" fontId="15" fillId="0" borderId="12" xfId="42" applyFont="1" applyFill="1" applyBorder="1" applyAlignment="1" applyProtection="1">
      <alignment horizontal="left" vertical="center"/>
      <protection/>
    </xf>
    <xf numFmtId="0" fontId="15" fillId="0" borderId="12" xfId="56" applyFont="1" applyFill="1" applyBorder="1" applyAlignment="1" applyProtection="1">
      <alignment horizontal="center" vertical="center"/>
      <protection/>
    </xf>
    <xf numFmtId="0" fontId="15" fillId="0" borderId="10" xfId="56" applyFont="1" applyFill="1" applyBorder="1" applyAlignment="1" applyProtection="1">
      <alignment horizontal="center"/>
      <protection/>
    </xf>
    <xf numFmtId="0" fontId="14" fillId="5" borderId="14" xfId="0" applyFont="1" applyFill="1" applyBorder="1" applyAlignment="1" applyProtection="1">
      <alignment vertical="center"/>
      <protection/>
    </xf>
    <xf numFmtId="2" fontId="14" fillId="5" borderId="14" xfId="0" applyNumberFormat="1" applyFont="1" applyFill="1" applyBorder="1" applyAlignment="1" applyProtection="1">
      <alignment horizontal="left" vertical="center"/>
      <protection/>
    </xf>
    <xf numFmtId="0" fontId="14" fillId="5" borderId="14" xfId="56" applyFont="1" applyFill="1" applyBorder="1" applyAlignment="1" applyProtection="1">
      <alignment horizontal="center"/>
      <protection/>
    </xf>
    <xf numFmtId="1" fontId="14" fillId="5" borderId="14" xfId="0" applyNumberFormat="1" applyFont="1" applyFill="1" applyBorder="1" applyAlignment="1" applyProtection="1">
      <alignment horizontal="center" vertical="center"/>
      <protection/>
    </xf>
    <xf numFmtId="43" fontId="14" fillId="5" borderId="14" xfId="42" applyFont="1" applyFill="1" applyBorder="1" applyAlignment="1" applyProtection="1">
      <alignment horizontal="left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0" fontId="74" fillId="36" borderId="11" xfId="0" applyFont="1" applyFill="1" applyBorder="1" applyAlignment="1" applyProtection="1">
      <alignment horizontal="center" vertical="center" wrapText="1"/>
      <protection/>
    </xf>
    <xf numFmtId="0" fontId="74" fillId="36" borderId="11" xfId="0" applyFont="1" applyFill="1" applyBorder="1" applyAlignment="1" applyProtection="1">
      <alignment horizontal="left" vertical="center" wrapText="1"/>
      <protection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left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4" fillId="35" borderId="12" xfId="0" applyFont="1" applyFill="1" applyBorder="1" applyAlignment="1" applyProtection="1">
      <alignment horizontal="center" vertical="center" wrapText="1"/>
      <protection/>
    </xf>
    <xf numFmtId="0" fontId="74" fillId="35" borderId="12" xfId="0" applyFont="1" applyFill="1" applyBorder="1" applyAlignment="1" applyProtection="1">
      <alignment horizontal="left"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1" fontId="76" fillId="36" borderId="0" xfId="0" applyNumberFormat="1" applyFont="1" applyFill="1" applyBorder="1" applyAlignment="1" applyProtection="1">
      <alignment horizontal="left" vertical="center"/>
      <protection/>
    </xf>
    <xf numFmtId="1" fontId="15" fillId="5" borderId="14" xfId="56" applyNumberFormat="1" applyFont="1" applyFill="1" applyBorder="1" applyAlignment="1" applyProtection="1">
      <alignment horizontal="center"/>
      <protection/>
    </xf>
    <xf numFmtId="1" fontId="14" fillId="5" borderId="14" xfId="56" applyNumberFormat="1" applyFont="1" applyFill="1" applyBorder="1" applyAlignment="1" applyProtection="1">
      <alignment horizontal="center"/>
      <protection/>
    </xf>
    <xf numFmtId="3" fontId="15" fillId="6" borderId="10" xfId="42" applyNumberFormat="1" applyFont="1" applyFill="1" applyBorder="1" applyAlignment="1" applyProtection="1">
      <alignment horizontal="center" vertical="center"/>
      <protection locked="0"/>
    </xf>
    <xf numFmtId="43" fontId="71" fillId="0" borderId="10" xfId="42" applyNumberFormat="1" applyFont="1" applyBorder="1" applyAlignment="1" applyProtection="1">
      <alignment/>
      <protection/>
    </xf>
    <xf numFmtId="43" fontId="0" fillId="0" borderId="0" xfId="42" applyNumberFormat="1" applyFont="1" applyBorder="1" applyAlignment="1" applyProtection="1">
      <alignment horizontal="center" vertical="center" wrapText="1"/>
      <protection/>
    </xf>
    <xf numFmtId="0" fontId="76" fillId="36" borderId="16" xfId="0" applyFont="1" applyFill="1" applyBorder="1" applyAlignment="1" applyProtection="1">
      <alignment vertical="center" wrapText="1"/>
      <protection/>
    </xf>
    <xf numFmtId="0" fontId="76" fillId="35" borderId="16" xfId="0" applyFont="1" applyFill="1" applyBorder="1" applyAlignment="1" applyProtection="1">
      <alignment vertical="center" wrapText="1"/>
      <protection/>
    </xf>
    <xf numFmtId="0" fontId="76" fillId="35" borderId="16" xfId="0" applyFont="1" applyFill="1" applyBorder="1" applyAlignment="1" applyProtection="1">
      <alignment horizontal="right" vertical="center"/>
      <protection/>
    </xf>
    <xf numFmtId="0" fontId="76" fillId="36" borderId="16" xfId="0" applyFont="1" applyFill="1" applyBorder="1" applyAlignment="1" applyProtection="1">
      <alignment horizontal="right" vertical="center"/>
      <protection/>
    </xf>
    <xf numFmtId="0" fontId="17" fillId="34" borderId="17" xfId="0" applyFont="1" applyFill="1" applyBorder="1" applyAlignment="1">
      <alignment horizontal="center" vertical="center" wrapText="1"/>
    </xf>
    <xf numFmtId="164" fontId="77" fillId="0" borderId="18" xfId="42" applyNumberFormat="1" applyFont="1" applyBorder="1" applyAlignment="1">
      <alignment horizontal="center" wrapText="1"/>
    </xf>
    <xf numFmtId="3" fontId="15" fillId="6" borderId="10" xfId="0" applyNumberFormat="1" applyFont="1" applyFill="1" applyBorder="1" applyAlignment="1" applyProtection="1">
      <alignment horizontal="center" vertical="center"/>
      <protection locked="0"/>
    </xf>
    <xf numFmtId="3" fontId="15" fillId="6" borderId="11" xfId="0" applyNumberFormat="1" applyFont="1" applyFill="1" applyBorder="1" applyAlignment="1" applyProtection="1">
      <alignment horizontal="center" vertical="center"/>
      <protection locked="0"/>
    </xf>
    <xf numFmtId="3" fontId="15" fillId="6" borderId="12" xfId="0" applyNumberFormat="1" applyFont="1" applyFill="1" applyBorder="1" applyAlignment="1" applyProtection="1">
      <alignment horizontal="center" vertical="center"/>
      <protection locked="0"/>
    </xf>
    <xf numFmtId="3" fontId="15" fillId="6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 wrapText="1"/>
      <protection/>
    </xf>
    <xf numFmtId="3" fontId="79" fillId="33" borderId="0" xfId="0" applyNumberFormat="1" applyFont="1" applyFill="1" applyBorder="1" applyAlignment="1" applyProtection="1">
      <alignment horizontal="left" vertical="center"/>
      <protection/>
    </xf>
    <xf numFmtId="0" fontId="7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 horizontal="right" vertical="center"/>
      <protection/>
    </xf>
    <xf numFmtId="0" fontId="80" fillId="33" borderId="16" xfId="0" applyFont="1" applyFill="1" applyBorder="1" applyAlignment="1" applyProtection="1">
      <alignment horizontal="right" vertical="center"/>
      <protection/>
    </xf>
    <xf numFmtId="3" fontId="72" fillId="33" borderId="0" xfId="0" applyNumberFormat="1" applyFont="1" applyFill="1" applyBorder="1" applyAlignment="1" applyProtection="1">
      <alignment horizontal="center" vertical="center"/>
      <protection/>
    </xf>
    <xf numFmtId="3" fontId="71" fillId="6" borderId="11" xfId="0" applyNumberFormat="1" applyFont="1" applyFill="1" applyBorder="1" applyAlignment="1" applyProtection="1">
      <alignment horizontal="center" vertical="center"/>
      <protection locked="0"/>
    </xf>
    <xf numFmtId="3" fontId="71" fillId="6" borderId="10" xfId="0" applyNumberFormat="1" applyFont="1" applyFill="1" applyBorder="1" applyAlignment="1" applyProtection="1">
      <alignment horizontal="center" vertical="center"/>
      <protection locked="0"/>
    </xf>
    <xf numFmtId="2" fontId="71" fillId="0" borderId="0" xfId="0" applyNumberFormat="1" applyFont="1" applyAlignment="1" applyProtection="1">
      <alignment/>
      <protection/>
    </xf>
    <xf numFmtId="8" fontId="15" fillId="0" borderId="11" xfId="44" applyNumberFormat="1" applyFont="1" applyBorder="1" applyAlignment="1" applyProtection="1">
      <alignment horizontal="left" vertical="center"/>
      <protection/>
    </xf>
    <xf numFmtId="0" fontId="17" fillId="34" borderId="19" xfId="0" applyFont="1" applyFill="1" applyBorder="1" applyAlignment="1">
      <alignment horizontal="center" vertical="center" wrapText="1"/>
    </xf>
    <xf numFmtId="0" fontId="78" fillId="36" borderId="0" xfId="0" applyFont="1" applyFill="1" applyBorder="1" applyAlignment="1" applyProtection="1">
      <alignment vertical="center"/>
      <protection/>
    </xf>
    <xf numFmtId="3" fontId="76" fillId="36" borderId="16" xfId="0" applyNumberFormat="1" applyFont="1" applyFill="1" applyBorder="1" applyAlignment="1" applyProtection="1">
      <alignment horizontal="left" vertical="center" wrapText="1"/>
      <protection/>
    </xf>
    <xf numFmtId="2" fontId="15" fillId="0" borderId="11" xfId="42" applyNumberFormat="1" applyFont="1" applyBorder="1" applyAlignment="1" applyProtection="1">
      <alignment horizontal="left" vertical="center"/>
      <protection/>
    </xf>
    <xf numFmtId="164" fontId="15" fillId="0" borderId="10" xfId="42" applyNumberFormat="1" applyFont="1" applyFill="1" applyBorder="1" applyAlignment="1" applyProtection="1">
      <alignment horizontal="center" vertical="center"/>
      <protection/>
    </xf>
    <xf numFmtId="164" fontId="15" fillId="0" borderId="11" xfId="42" applyNumberFormat="1" applyFont="1" applyFill="1" applyBorder="1" applyAlignment="1" applyProtection="1">
      <alignment horizontal="center" vertical="center"/>
      <protection/>
    </xf>
    <xf numFmtId="164" fontId="15" fillId="0" borderId="12" xfId="42" applyNumberFormat="1" applyFont="1" applyFill="1" applyBorder="1" applyAlignment="1" applyProtection="1">
      <alignment horizontal="center" vertical="center"/>
      <protection/>
    </xf>
    <xf numFmtId="164" fontId="15" fillId="0" borderId="10" xfId="42" applyNumberFormat="1" applyFont="1" applyFill="1" applyBorder="1" applyAlignment="1" applyProtection="1">
      <alignment horizontal="center"/>
      <protection/>
    </xf>
    <xf numFmtId="164" fontId="15" fillId="0" borderId="11" xfId="42" applyNumberFormat="1" applyFont="1" applyFill="1" applyBorder="1" applyAlignment="1" applyProtection="1">
      <alignment horizontal="center"/>
      <protection/>
    </xf>
    <xf numFmtId="1" fontId="14" fillId="5" borderId="14" xfId="56" applyNumberFormat="1" applyFont="1" applyFill="1" applyBorder="1" applyAlignment="1" applyProtection="1">
      <alignment horizontal="center" vertical="center"/>
      <protection/>
    </xf>
    <xf numFmtId="1" fontId="15" fillId="0" borderId="10" xfId="42" applyNumberFormat="1" applyFont="1" applyFill="1" applyBorder="1" applyAlignment="1" applyProtection="1">
      <alignment horizontal="center" vertical="center"/>
      <protection/>
    </xf>
    <xf numFmtId="1" fontId="15" fillId="0" borderId="11" xfId="42" applyNumberFormat="1" applyFont="1" applyFill="1" applyBorder="1" applyAlignment="1" applyProtection="1">
      <alignment horizontal="center" vertical="center"/>
      <protection/>
    </xf>
    <xf numFmtId="1" fontId="15" fillId="0" borderId="12" xfId="42" applyNumberFormat="1" applyFont="1" applyFill="1" applyBorder="1" applyAlignment="1" applyProtection="1">
      <alignment horizontal="center" vertical="center"/>
      <protection/>
    </xf>
    <xf numFmtId="1" fontId="15" fillId="0" borderId="11" xfId="42" applyNumberFormat="1" applyFont="1" applyBorder="1" applyAlignment="1" applyProtection="1">
      <alignment horizontal="center" vertical="center"/>
      <protection/>
    </xf>
    <xf numFmtId="1" fontId="15" fillId="34" borderId="11" xfId="42" applyNumberFormat="1" applyFont="1" applyFill="1" applyBorder="1" applyAlignment="1" applyProtection="1">
      <alignment horizontal="center" vertical="center"/>
      <protection/>
    </xf>
    <xf numFmtId="4" fontId="15" fillId="0" borderId="11" xfId="42" applyNumberFormat="1" applyFont="1" applyBorder="1" applyAlignment="1" applyProtection="1">
      <alignment/>
      <protection/>
    </xf>
    <xf numFmtId="1" fontId="15" fillId="34" borderId="10" xfId="42" applyNumberFormat="1" applyFont="1" applyFill="1" applyBorder="1" applyAlignment="1" applyProtection="1">
      <alignment horizontal="center" vertical="center"/>
      <protection/>
    </xf>
    <xf numFmtId="1" fontId="14" fillId="5" borderId="14" xfId="42" applyNumberFormat="1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>
      <alignment horizontal="center" vertical="center" wrapText="1"/>
    </xf>
    <xf numFmtId="3" fontId="81" fillId="0" borderId="0" xfId="0" applyNumberFormat="1" applyFont="1" applyBorder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44" fontId="77" fillId="0" borderId="20" xfId="44" applyNumberFormat="1" applyFont="1" applyBorder="1" applyAlignment="1">
      <alignment horizontal="center" wrapText="1"/>
    </xf>
    <xf numFmtId="4" fontId="82" fillId="7" borderId="21" xfId="42" applyNumberFormat="1" applyFont="1" applyFill="1" applyBorder="1" applyAlignment="1">
      <alignment horizontal="center" wrapText="1"/>
    </xf>
    <xf numFmtId="0" fontId="24" fillId="34" borderId="22" xfId="0" applyFont="1" applyFill="1" applyBorder="1" applyAlignment="1">
      <alignment horizontal="center" vertical="center" wrapText="1"/>
    </xf>
    <xf numFmtId="164" fontId="0" fillId="0" borderId="0" xfId="42" applyNumberFormat="1" applyFont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center" vertical="center" wrapText="1"/>
      <protection/>
    </xf>
    <xf numFmtId="164" fontId="77" fillId="0" borderId="18" xfId="42" applyNumberFormat="1" applyFont="1" applyBorder="1" applyAlignment="1" applyProtection="1">
      <alignment horizontal="center" wrapText="1"/>
      <protection/>
    </xf>
    <xf numFmtId="44" fontId="77" fillId="0" borderId="20" xfId="44" applyNumberFormat="1" applyFont="1" applyBorder="1" applyAlignment="1" applyProtection="1">
      <alignment horizontal="center" wrapText="1"/>
      <protection/>
    </xf>
    <xf numFmtId="0" fontId="24" fillId="34" borderId="22" xfId="0" applyFont="1" applyFill="1" applyBorder="1" applyAlignment="1" applyProtection="1">
      <alignment horizontal="center" vertical="center" wrapText="1"/>
      <protection/>
    </xf>
    <xf numFmtId="4" fontId="82" fillId="7" borderId="21" xfId="42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2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3" fontId="25" fillId="0" borderId="11" xfId="0" applyNumberFormat="1" applyFont="1" applyBorder="1" applyAlignment="1" applyProtection="1">
      <alignment horizontal="center" vertical="center"/>
      <protection/>
    </xf>
    <xf numFmtId="164" fontId="25" fillId="34" borderId="11" xfId="0" applyNumberFormat="1" applyFont="1" applyFill="1" applyBorder="1" applyAlignment="1" applyProtection="1">
      <alignment horizontal="center" vertical="center"/>
      <protection/>
    </xf>
    <xf numFmtId="44" fontId="67" fillId="34" borderId="11" xfId="0" applyNumberFormat="1" applyFont="1" applyFill="1" applyBorder="1" applyAlignment="1" applyProtection="1">
      <alignment/>
      <protection/>
    </xf>
    <xf numFmtId="43" fontId="67" fillId="0" borderId="11" xfId="0" applyNumberFormat="1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2" fontId="25" fillId="0" borderId="0" xfId="0" applyNumberFormat="1" applyFont="1" applyBorder="1" applyAlignment="1" applyProtection="1">
      <alignment horizontal="left" vertical="center"/>
      <protection/>
    </xf>
    <xf numFmtId="44" fontId="25" fillId="34" borderId="11" xfId="0" applyNumberFormat="1" applyFont="1" applyFill="1" applyBorder="1" applyAlignment="1" applyProtection="1">
      <alignment/>
      <protection/>
    </xf>
    <xf numFmtId="43" fontId="25" fillId="0" borderId="11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center"/>
      <protection/>
    </xf>
    <xf numFmtId="164" fontId="25" fillId="34" borderId="10" xfId="0" applyNumberFormat="1" applyFont="1" applyFill="1" applyBorder="1" applyAlignment="1" applyProtection="1">
      <alignment horizontal="center"/>
      <protection/>
    </xf>
    <xf numFmtId="44" fontId="25" fillId="34" borderId="10" xfId="0" applyNumberFormat="1" applyFont="1" applyFill="1" applyBorder="1" applyAlignment="1" applyProtection="1">
      <alignment/>
      <protection/>
    </xf>
    <xf numFmtId="43" fontId="25" fillId="0" borderId="10" xfId="0" applyNumberFormat="1" applyFont="1" applyBorder="1" applyAlignment="1" applyProtection="1">
      <alignment/>
      <protection/>
    </xf>
    <xf numFmtId="1" fontId="25" fillId="34" borderId="11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25" fillId="34" borderId="10" xfId="0" applyNumberFormat="1" applyFont="1" applyFill="1" applyBorder="1" applyAlignment="1" applyProtection="1">
      <alignment horizontal="center"/>
      <protection/>
    </xf>
    <xf numFmtId="4" fontId="25" fillId="0" borderId="10" xfId="0" applyNumberFormat="1" applyFont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1" fontId="25" fillId="0" borderId="11" xfId="0" applyNumberFormat="1" applyFont="1" applyFill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/>
    </xf>
    <xf numFmtId="164" fontId="25" fillId="34" borderId="0" xfId="0" applyNumberFormat="1" applyFont="1" applyFill="1" applyBorder="1" applyAlignment="1" applyProtection="1">
      <alignment horizontal="center" vertical="center"/>
      <protection/>
    </xf>
    <xf numFmtId="44" fontId="67" fillId="34" borderId="0" xfId="0" applyNumberFormat="1" applyFont="1" applyFill="1" applyBorder="1" applyAlignment="1" applyProtection="1">
      <alignment/>
      <protection/>
    </xf>
    <xf numFmtId="43" fontId="67" fillId="0" borderId="0" xfId="0" applyNumberFormat="1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43" fontId="25" fillId="0" borderId="0" xfId="0" applyNumberFormat="1" applyFont="1" applyBorder="1" applyAlignment="1" applyProtection="1">
      <alignment/>
      <protection/>
    </xf>
    <xf numFmtId="1" fontId="25" fillId="34" borderId="0" xfId="0" applyNumberFormat="1" applyFont="1" applyFill="1" applyBorder="1" applyAlignment="1" applyProtection="1">
      <alignment horizontal="center" vertical="center"/>
      <protection/>
    </xf>
    <xf numFmtId="44" fontId="25" fillId="34" borderId="0" xfId="0" applyNumberFormat="1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71" fillId="33" borderId="0" xfId="0" applyFont="1" applyFill="1" applyAlignment="1" applyProtection="1">
      <alignment/>
      <protection/>
    </xf>
    <xf numFmtId="165" fontId="15" fillId="0" borderId="11" xfId="44" applyNumberFormat="1" applyFont="1" applyFill="1" applyBorder="1" applyAlignment="1" applyProtection="1">
      <alignment horizontal="left" vertical="center"/>
      <protection/>
    </xf>
    <xf numFmtId="8" fontId="15" fillId="0" borderId="11" xfId="44" applyNumberFormat="1" applyFont="1" applyFill="1" applyBorder="1" applyAlignment="1" applyProtection="1">
      <alignment horizontal="left" vertical="center"/>
      <protection/>
    </xf>
    <xf numFmtId="0" fontId="74" fillId="36" borderId="10" xfId="0" applyFont="1" applyFill="1" applyBorder="1" applyAlignment="1" applyProtection="1">
      <alignment horizontal="center" vertical="center" wrapText="1"/>
      <protection/>
    </xf>
    <xf numFmtId="0" fontId="76" fillId="36" borderId="0" xfId="0" applyFont="1" applyFill="1" applyBorder="1" applyAlignment="1" applyProtection="1">
      <alignment vertical="center" wrapText="1"/>
      <protection/>
    </xf>
    <xf numFmtId="3" fontId="25" fillId="0" borderId="0" xfId="0" applyNumberFormat="1" applyFont="1" applyBorder="1" applyAlignment="1" applyProtection="1">
      <alignment horizontal="center"/>
      <protection/>
    </xf>
    <xf numFmtId="164" fontId="25" fillId="34" borderId="0" xfId="0" applyNumberFormat="1" applyFont="1" applyFill="1" applyBorder="1" applyAlignment="1" applyProtection="1">
      <alignment horizontal="center"/>
      <protection/>
    </xf>
    <xf numFmtId="44" fontId="25" fillId="34" borderId="0" xfId="0" applyNumberFormat="1" applyFont="1" applyFill="1" applyBorder="1" applyAlignment="1" applyProtection="1">
      <alignment/>
      <protection/>
    </xf>
    <xf numFmtId="43" fontId="25" fillId="0" borderId="0" xfId="0" applyNumberFormat="1" applyFont="1" applyBorder="1" applyAlignment="1" applyProtection="1">
      <alignment/>
      <protection/>
    </xf>
    <xf numFmtId="0" fontId="78" fillId="37" borderId="0" xfId="0" applyFont="1" applyFill="1" applyBorder="1" applyAlignment="1" applyProtection="1">
      <alignment vertical="center"/>
      <protection/>
    </xf>
    <xf numFmtId="0" fontId="76" fillId="37" borderId="16" xfId="0" applyFont="1" applyFill="1" applyBorder="1" applyAlignment="1" applyProtection="1">
      <alignment vertical="center" wrapText="1"/>
      <protection/>
    </xf>
    <xf numFmtId="0" fontId="76" fillId="37" borderId="16" xfId="0" applyFont="1" applyFill="1" applyBorder="1" applyAlignment="1" applyProtection="1">
      <alignment horizontal="right" vertical="center"/>
      <protection/>
    </xf>
    <xf numFmtId="1" fontId="72" fillId="37" borderId="0" xfId="0" applyNumberFormat="1" applyFont="1" applyFill="1" applyBorder="1" applyAlignment="1" applyProtection="1">
      <alignment horizontal="center" vertical="center"/>
      <protection/>
    </xf>
    <xf numFmtId="0" fontId="76" fillId="37" borderId="0" xfId="0" applyFont="1" applyFill="1" applyBorder="1" applyAlignment="1" applyProtection="1">
      <alignment vertical="center" wrapText="1"/>
      <protection/>
    </xf>
    <xf numFmtId="1" fontId="76" fillId="37" borderId="0" xfId="0" applyNumberFormat="1" applyFont="1" applyFill="1" applyBorder="1" applyAlignment="1" applyProtection="1">
      <alignment horizontal="left" vertical="center"/>
      <protection/>
    </xf>
    <xf numFmtId="0" fontId="74" fillId="37" borderId="11" xfId="0" applyFont="1" applyFill="1" applyBorder="1" applyAlignment="1" applyProtection="1">
      <alignment horizontal="center" vertical="center" wrapText="1"/>
      <protection/>
    </xf>
    <xf numFmtId="0" fontId="74" fillId="37" borderId="11" xfId="0" applyFont="1" applyFill="1" applyBorder="1" applyAlignment="1" applyProtection="1">
      <alignment horizontal="left" vertical="center" wrapText="1"/>
      <protection/>
    </xf>
    <xf numFmtId="0" fontId="74" fillId="37" borderId="10" xfId="0" applyFont="1" applyFill="1" applyBorder="1" applyAlignment="1" applyProtection="1">
      <alignment horizontal="center" vertical="center" wrapText="1"/>
      <protection/>
    </xf>
    <xf numFmtId="165" fontId="15" fillId="34" borderId="11" xfId="44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Alignment="1" applyProtection="1">
      <alignment/>
      <protection/>
    </xf>
    <xf numFmtId="10" fontId="0" fillId="0" borderId="0" xfId="59" applyNumberFormat="1" applyFont="1" applyAlignment="1" applyProtection="1">
      <alignment/>
      <protection/>
    </xf>
    <xf numFmtId="10" fontId="0" fillId="0" borderId="0" xfId="59" applyNumberFormat="1" applyFont="1" applyAlignment="1" applyProtection="1">
      <alignment horizontal="center" vertical="center" wrapText="1"/>
      <protection/>
    </xf>
    <xf numFmtId="3" fontId="76" fillId="37" borderId="16" xfId="0" applyNumberFormat="1" applyFont="1" applyFill="1" applyBorder="1" applyAlignment="1" applyProtection="1">
      <alignment horizontal="left" vertical="center" wrapText="1"/>
      <protection/>
    </xf>
    <xf numFmtId="0" fontId="78" fillId="35" borderId="16" xfId="0" applyFont="1" applyFill="1" applyBorder="1" applyAlignment="1" applyProtection="1">
      <alignment horizontal="left" vertical="center" wrapText="1"/>
      <protection/>
    </xf>
    <xf numFmtId="0" fontId="19" fillId="34" borderId="0" xfId="0" applyFont="1" applyFill="1" applyBorder="1" applyAlignment="1" applyProtection="1">
      <alignment horizontal="center" wrapText="1"/>
      <protection/>
    </xf>
    <xf numFmtId="0" fontId="78" fillId="35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lternate Order Forms 15-1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104775</xdr:rowOff>
    </xdr:from>
    <xdr:to>
      <xdr:col>16</xdr:col>
      <xdr:colOff>19050</xdr:colOff>
      <xdr:row>10</xdr:row>
      <xdr:rowOff>257175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058400" y="104775"/>
          <a:ext cx="1503045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Enter total yearly menu servings required by product in blue column to calculate donated food pounds to be diverted.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For all White and all Dark product option please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all White servings first.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The number of all dark servings required to balance White/Dark usage will auto populate in all dark section.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Select enough Dark servings to achieve zero balance.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White/Dark natural proportion products will independently calculate total White/Dark donated food pounds and total with all White/all Dark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products ordered to calculate total donated food pounds required to divert to meet menu servings.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 editAs="absolute">
    <xdr:from>
      <xdr:col>2</xdr:col>
      <xdr:colOff>876300</xdr:colOff>
      <xdr:row>0</xdr:row>
      <xdr:rowOff>190500</xdr:rowOff>
    </xdr:from>
    <xdr:to>
      <xdr:col>3</xdr:col>
      <xdr:colOff>3429000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90500"/>
          <a:ext cx="3457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752475</xdr:colOff>
      <xdr:row>5</xdr:row>
      <xdr:rowOff>123825</xdr:rowOff>
    </xdr:from>
    <xdr:to>
      <xdr:col>3</xdr:col>
      <xdr:colOff>3629025</xdr:colOff>
      <xdr:row>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2075" y="1552575"/>
          <a:ext cx="37814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Servings Calculator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 2020 - 2021</a:t>
          </a:r>
        </a:p>
      </xdr:txBody>
    </xdr:sp>
    <xdr:clientData/>
  </xdr:twoCellAnchor>
  <xdr:twoCellAnchor>
    <xdr:from>
      <xdr:col>1</xdr:col>
      <xdr:colOff>542925</xdr:colOff>
      <xdr:row>66</xdr:row>
      <xdr:rowOff>371475</xdr:rowOff>
    </xdr:from>
    <xdr:to>
      <xdr:col>5</xdr:col>
      <xdr:colOff>1047750</xdr:colOff>
      <xdr:row>77</xdr:row>
      <xdr:rowOff>133350</xdr:rowOff>
    </xdr:to>
    <xdr:grpSp>
      <xdr:nvGrpSpPr>
        <xdr:cNvPr id="4" name="Group 2" descr="Label box"/>
        <xdr:cNvGrpSpPr>
          <a:grpSpLocks/>
        </xdr:cNvGrpSpPr>
      </xdr:nvGrpSpPr>
      <xdr:grpSpPr>
        <a:xfrm>
          <a:off x="542925" y="20888325"/>
          <a:ext cx="8915400" cy="3857625"/>
          <a:chOff x="612321" y="17407615"/>
          <a:chExt cx="8939399" cy="4273263"/>
        </a:xfrm>
        <a:solidFill>
          <a:srgbClr val="FFFFFF"/>
        </a:solidFill>
      </xdr:grpSpPr>
      <xdr:sp fLocksText="0">
        <xdr:nvSpPr>
          <xdr:cNvPr id="5" name="TextBox 33"/>
          <xdr:cNvSpPr txBox="1">
            <a:spLocks noChangeAspect="1" noChangeArrowheads="1"/>
          </xdr:cNvSpPr>
        </xdr:nvSpPr>
        <xdr:spPr>
          <a:xfrm>
            <a:off x="5225051" y="19594457"/>
            <a:ext cx="665985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Box 30"/>
          <xdr:cNvSpPr txBox="1">
            <a:spLocks noChangeAspect="1" noChangeArrowheads="1"/>
          </xdr:cNvSpPr>
        </xdr:nvSpPr>
        <xdr:spPr>
          <a:xfrm>
            <a:off x="636904" y="17407615"/>
            <a:ext cx="8914816" cy="4273263"/>
          </a:xfrm>
          <a:prstGeom prst="rect">
            <a:avLst/>
          </a:prstGeom>
          <a:solidFill>
            <a:srgbClr val="E7E6E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Return to your Broker or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send to: commodity@richchicks.com</a:t>
            </a:r>
            <a:r>
              <a:rPr lang="en-US" cap="none" sz="4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City: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TextBox 31"/>
          <xdr:cNvSpPr txBox="1">
            <a:spLocks noChangeArrowheads="1"/>
          </xdr:cNvSpPr>
        </xdr:nvSpPr>
        <xdr:spPr>
          <a:xfrm>
            <a:off x="648079" y="18121250"/>
            <a:ext cx="1021326" cy="394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District:</a:t>
            </a:r>
          </a:p>
        </xdr:txBody>
      </xdr:sp>
      <xdr:sp fLocksText="0">
        <xdr:nvSpPr>
          <xdr:cNvPr id="8" name="TextBox 32"/>
          <xdr:cNvSpPr txBox="1">
            <a:spLocks noChangeAspect="1" noChangeArrowheads="1"/>
          </xdr:cNvSpPr>
        </xdr:nvSpPr>
        <xdr:spPr>
          <a:xfrm>
            <a:off x="1667170" y="18161846"/>
            <a:ext cx="6695610" cy="326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Box 34"/>
          <xdr:cNvSpPr txBox="1">
            <a:spLocks noChangeArrowheads="1"/>
          </xdr:cNvSpPr>
        </xdr:nvSpPr>
        <xdr:spPr>
          <a:xfrm>
            <a:off x="612321" y="18678911"/>
            <a:ext cx="1150948" cy="3675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Address:</a:t>
            </a:r>
          </a:p>
        </xdr:txBody>
      </xdr:sp>
      <xdr:sp fLocksText="0">
        <xdr:nvSpPr>
          <xdr:cNvPr id="10" name="TextBox 35"/>
          <xdr:cNvSpPr txBox="1">
            <a:spLocks noChangeAspect="1" noChangeArrowheads="1"/>
          </xdr:cNvSpPr>
        </xdr:nvSpPr>
        <xdr:spPr>
          <a:xfrm>
            <a:off x="1682814" y="18746215"/>
            <a:ext cx="6695610" cy="326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" name="TextBox 36"/>
          <xdr:cNvSpPr txBox="1">
            <a:spLocks noChangeAspect="1" noChangeArrowheads="1"/>
          </xdr:cNvSpPr>
        </xdr:nvSpPr>
        <xdr:spPr>
          <a:xfrm>
            <a:off x="1197852" y="19687401"/>
            <a:ext cx="3278525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Box 37"/>
          <xdr:cNvSpPr txBox="1">
            <a:spLocks noChangeArrowheads="1"/>
          </xdr:cNvSpPr>
        </xdr:nvSpPr>
        <xdr:spPr>
          <a:xfrm>
            <a:off x="4471907" y="19713040"/>
            <a:ext cx="815720" cy="405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State:</a:t>
            </a:r>
          </a:p>
        </xdr:txBody>
      </xdr:sp>
      <xdr:sp fLocksText="0">
        <xdr:nvSpPr>
          <xdr:cNvPr id="13" name="TextBox 38"/>
          <xdr:cNvSpPr txBox="1">
            <a:spLocks noChangeAspect="1" noChangeArrowheads="1"/>
          </xdr:cNvSpPr>
        </xdr:nvSpPr>
        <xdr:spPr>
          <a:xfrm>
            <a:off x="5274218" y="19672444"/>
            <a:ext cx="665985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4" name="TextBox 39"/>
          <xdr:cNvSpPr txBox="1">
            <a:spLocks noChangeAspect="1" noChangeArrowheads="1"/>
          </xdr:cNvSpPr>
        </xdr:nvSpPr>
        <xdr:spPr>
          <a:xfrm>
            <a:off x="6507855" y="19661761"/>
            <a:ext cx="1414660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Box 40"/>
          <xdr:cNvSpPr txBox="1">
            <a:spLocks noChangeAspect="1" noChangeArrowheads="1"/>
          </xdr:cNvSpPr>
        </xdr:nvSpPr>
        <xdr:spPr>
          <a:xfrm>
            <a:off x="621260" y="20270701"/>
            <a:ext cx="965455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Phone:</a:t>
            </a:r>
          </a:p>
        </xdr:txBody>
      </xdr:sp>
      <xdr:sp fLocksText="0">
        <xdr:nvSpPr>
          <xdr:cNvPr id="16" name="TextBox 41"/>
          <xdr:cNvSpPr txBox="1">
            <a:spLocks noChangeAspect="1" noChangeArrowheads="1"/>
          </xdr:cNvSpPr>
        </xdr:nvSpPr>
        <xdr:spPr>
          <a:xfrm>
            <a:off x="1477208" y="20270701"/>
            <a:ext cx="2885191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TextBox 42"/>
          <xdr:cNvSpPr txBox="1">
            <a:spLocks noChangeAspect="1" noChangeArrowheads="1"/>
          </xdr:cNvSpPr>
        </xdr:nvSpPr>
        <xdr:spPr>
          <a:xfrm>
            <a:off x="4552361" y="20284589"/>
            <a:ext cx="965455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Email:</a:t>
            </a:r>
          </a:p>
        </xdr:txBody>
      </xdr:sp>
      <xdr:sp fLocksText="0">
        <xdr:nvSpPr>
          <xdr:cNvPr id="18" name="TextBox 43"/>
          <xdr:cNvSpPr txBox="1">
            <a:spLocks noChangeAspect="1" noChangeArrowheads="1"/>
          </xdr:cNvSpPr>
        </xdr:nvSpPr>
        <xdr:spPr>
          <a:xfrm>
            <a:off x="5383725" y="20284589"/>
            <a:ext cx="3837237" cy="33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traight Connector 44"/>
          <xdr:cNvSpPr>
            <a:spLocks/>
          </xdr:cNvSpPr>
        </xdr:nvSpPr>
        <xdr:spPr>
          <a:xfrm>
            <a:off x="6530203" y="19991871"/>
            <a:ext cx="141689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TextBox 45"/>
          <xdr:cNvSpPr txBox="1">
            <a:spLocks noChangeArrowheads="1"/>
          </xdr:cNvSpPr>
        </xdr:nvSpPr>
        <xdr:spPr>
          <a:xfrm>
            <a:off x="5982665" y="19687401"/>
            <a:ext cx="708447" cy="405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Zip:</a:t>
            </a:r>
          </a:p>
        </xdr:txBody>
      </xdr:sp>
      <xdr:sp>
        <xdr:nvSpPr>
          <xdr:cNvPr id="21" name="Straight Connector 46"/>
          <xdr:cNvSpPr>
            <a:spLocks/>
          </xdr:cNvSpPr>
        </xdr:nvSpPr>
        <xdr:spPr>
          <a:xfrm flipV="1">
            <a:off x="1624708" y="19000474"/>
            <a:ext cx="68855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traight Connector 47"/>
          <xdr:cNvSpPr>
            <a:spLocks/>
          </xdr:cNvSpPr>
        </xdr:nvSpPr>
        <xdr:spPr>
          <a:xfrm flipV="1">
            <a:off x="1586715" y="18426788"/>
            <a:ext cx="68855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traight Connector 48"/>
          <xdr:cNvSpPr>
            <a:spLocks/>
          </xdr:cNvSpPr>
        </xdr:nvSpPr>
        <xdr:spPr>
          <a:xfrm flipV="1">
            <a:off x="1226905" y="19936318"/>
            <a:ext cx="325617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49"/>
          <xdr:cNvSpPr>
            <a:spLocks/>
          </xdr:cNvSpPr>
        </xdr:nvSpPr>
        <xdr:spPr>
          <a:xfrm flipV="1">
            <a:off x="5271983" y="19969436"/>
            <a:ext cx="62575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50"/>
          <xdr:cNvSpPr>
            <a:spLocks/>
          </xdr:cNvSpPr>
        </xdr:nvSpPr>
        <xdr:spPr>
          <a:xfrm flipV="1">
            <a:off x="1483912" y="20575171"/>
            <a:ext cx="309303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Straight Connector 51"/>
          <xdr:cNvSpPr>
            <a:spLocks/>
          </xdr:cNvSpPr>
        </xdr:nvSpPr>
        <xdr:spPr>
          <a:xfrm flipV="1">
            <a:off x="5303271" y="20560215"/>
            <a:ext cx="386852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0</xdr:rowOff>
    </xdr:from>
    <xdr:to>
      <xdr:col>13</xdr:col>
      <xdr:colOff>1447800</xdr:colOff>
      <xdr:row>9</xdr:row>
      <xdr:rowOff>219075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0144125" y="0"/>
          <a:ext cx="1114425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total cases required to meet yearly menu requirements by item in the blue column. The calculator will provide total servings and donated food pounds by item.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all White and all Dark product option enter required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White cases first.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number of all dark cases required to balance all White/all Dark usage will auto populate in all dark section. RA can choose any product combinations to achieve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 case balance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White/Dark natural proportion cases will independently calculate total White/Dark pounds and total with all White/all Dark products ordered to calculate total donated food pounds required to meet total menu servings. 
</a:t>
          </a:r>
        </a:p>
      </xdr:txBody>
    </xdr:sp>
    <xdr:clientData/>
  </xdr:twoCellAnchor>
  <xdr:twoCellAnchor editAs="absolute">
    <xdr:from>
      <xdr:col>3</xdr:col>
      <xdr:colOff>0</xdr:colOff>
      <xdr:row>0</xdr:row>
      <xdr:rowOff>190500</xdr:rowOff>
    </xdr:from>
    <xdr:to>
      <xdr:col>3</xdr:col>
      <xdr:colOff>3438525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0500"/>
          <a:ext cx="3438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752475</xdr:colOff>
      <xdr:row>5</xdr:row>
      <xdr:rowOff>123825</xdr:rowOff>
    </xdr:from>
    <xdr:to>
      <xdr:col>3</xdr:col>
      <xdr:colOff>3629025</xdr:colOff>
      <xdr:row>9</xdr:row>
      <xdr:rowOff>28575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362075" y="155257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Cases Calculator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 2020 - 2021</a:t>
          </a:r>
        </a:p>
      </xdr:txBody>
    </xdr:sp>
    <xdr:clientData/>
  </xdr:twoCellAnchor>
  <xdr:twoCellAnchor>
    <xdr:from>
      <xdr:col>1</xdr:col>
      <xdr:colOff>542925</xdr:colOff>
      <xdr:row>67</xdr:row>
      <xdr:rowOff>323850</xdr:rowOff>
    </xdr:from>
    <xdr:to>
      <xdr:col>6</xdr:col>
      <xdr:colOff>85725</xdr:colOff>
      <xdr:row>79</xdr:row>
      <xdr:rowOff>171450</xdr:rowOff>
    </xdr:to>
    <xdr:grpSp>
      <xdr:nvGrpSpPr>
        <xdr:cNvPr id="4" name="Group 3" descr="&quot;&quot;"/>
        <xdr:cNvGrpSpPr>
          <a:grpSpLocks/>
        </xdr:cNvGrpSpPr>
      </xdr:nvGrpSpPr>
      <xdr:grpSpPr>
        <a:xfrm>
          <a:off x="542925" y="21612225"/>
          <a:ext cx="8963025" cy="4086225"/>
          <a:chOff x="612321" y="17689280"/>
          <a:chExt cx="8939399" cy="4263738"/>
        </a:xfrm>
        <a:solidFill>
          <a:srgbClr val="FFFFFF"/>
        </a:solidFill>
      </xdr:grpSpPr>
      <xdr:sp>
        <xdr:nvSpPr>
          <xdr:cNvPr id="5" name="TextBox 31"/>
          <xdr:cNvSpPr txBox="1">
            <a:spLocks noChangeAspect="1" noChangeArrowheads="1"/>
          </xdr:cNvSpPr>
        </xdr:nvSpPr>
        <xdr:spPr>
          <a:xfrm>
            <a:off x="636904" y="17689280"/>
            <a:ext cx="8914816" cy="4263738"/>
          </a:xfrm>
          <a:prstGeom prst="rect">
            <a:avLst/>
          </a:prstGeom>
          <a:solidFill>
            <a:srgbClr val="E7E6E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Return to your Broker or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send to: commodity@richchicks.com</a:t>
            </a:r>
            <a:r>
              <a:rPr lang="en-US" cap="none" sz="4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City: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6" name="TextBox 33"/>
          <xdr:cNvSpPr txBox="1">
            <a:spLocks noChangeArrowheads="1"/>
          </xdr:cNvSpPr>
        </xdr:nvSpPr>
        <xdr:spPr>
          <a:xfrm>
            <a:off x="648079" y="18392797"/>
            <a:ext cx="1021326" cy="5851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District:</a:t>
            </a:r>
          </a:p>
        </xdr:txBody>
      </xdr:sp>
      <xdr:sp fLocksText="0">
        <xdr:nvSpPr>
          <xdr:cNvPr id="7" name="TextBox 35"/>
          <xdr:cNvSpPr txBox="1">
            <a:spLocks noChangeAspect="1" noChangeArrowheads="1"/>
          </xdr:cNvSpPr>
        </xdr:nvSpPr>
        <xdr:spPr>
          <a:xfrm>
            <a:off x="1667170" y="18433302"/>
            <a:ext cx="6695610" cy="326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Box 36"/>
          <xdr:cNvSpPr txBox="1">
            <a:spLocks noChangeArrowheads="1"/>
          </xdr:cNvSpPr>
        </xdr:nvSpPr>
        <xdr:spPr>
          <a:xfrm>
            <a:off x="612321" y="18977995"/>
            <a:ext cx="1150948" cy="4125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Address:</a:t>
            </a:r>
          </a:p>
        </xdr:txBody>
      </xdr:sp>
      <xdr:sp fLocksText="0">
        <xdr:nvSpPr>
          <xdr:cNvPr id="9" name="TextBox 37"/>
          <xdr:cNvSpPr txBox="1">
            <a:spLocks noChangeAspect="1" noChangeArrowheads="1"/>
          </xdr:cNvSpPr>
        </xdr:nvSpPr>
        <xdr:spPr>
          <a:xfrm>
            <a:off x="1682814" y="19018500"/>
            <a:ext cx="6695610" cy="326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" name="TextBox 38"/>
          <xdr:cNvSpPr txBox="1">
            <a:spLocks noChangeAspect="1" noChangeArrowheads="1"/>
          </xdr:cNvSpPr>
        </xdr:nvSpPr>
        <xdr:spPr>
          <a:xfrm>
            <a:off x="1197852" y="19959720"/>
            <a:ext cx="3278525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TextBox 39"/>
          <xdr:cNvSpPr txBox="1">
            <a:spLocks noChangeArrowheads="1"/>
          </xdr:cNvSpPr>
        </xdr:nvSpPr>
        <xdr:spPr>
          <a:xfrm>
            <a:off x="4498725" y="19943731"/>
            <a:ext cx="815720" cy="405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State:</a:t>
            </a:r>
          </a:p>
        </xdr:txBody>
      </xdr:sp>
      <xdr:sp fLocksText="0">
        <xdr:nvSpPr>
          <xdr:cNvPr id="12" name="TextBox 40"/>
          <xdr:cNvSpPr txBox="1">
            <a:spLocks noChangeAspect="1" noChangeArrowheads="1"/>
          </xdr:cNvSpPr>
        </xdr:nvSpPr>
        <xdr:spPr>
          <a:xfrm>
            <a:off x="5274218" y="19943731"/>
            <a:ext cx="665985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3" name="TextBox 41"/>
          <xdr:cNvSpPr txBox="1">
            <a:spLocks noChangeAspect="1" noChangeArrowheads="1"/>
          </xdr:cNvSpPr>
        </xdr:nvSpPr>
        <xdr:spPr>
          <a:xfrm>
            <a:off x="6507855" y="19934138"/>
            <a:ext cx="1414660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Box 42"/>
          <xdr:cNvSpPr txBox="1">
            <a:spLocks noChangeAspect="1" noChangeArrowheads="1"/>
          </xdr:cNvSpPr>
        </xdr:nvSpPr>
        <xdr:spPr>
          <a:xfrm>
            <a:off x="621260" y="20542787"/>
            <a:ext cx="965455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Phone:</a:t>
            </a:r>
          </a:p>
        </xdr:txBody>
      </xdr:sp>
      <xdr:sp fLocksText="0">
        <xdr:nvSpPr>
          <xdr:cNvPr id="15" name="TextBox 43"/>
          <xdr:cNvSpPr txBox="1">
            <a:spLocks noChangeAspect="1" noChangeArrowheads="1"/>
          </xdr:cNvSpPr>
        </xdr:nvSpPr>
        <xdr:spPr>
          <a:xfrm>
            <a:off x="1477208" y="20542787"/>
            <a:ext cx="2885191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Box 44"/>
          <xdr:cNvSpPr txBox="1">
            <a:spLocks noChangeAspect="1" noChangeArrowheads="1"/>
          </xdr:cNvSpPr>
        </xdr:nvSpPr>
        <xdr:spPr>
          <a:xfrm>
            <a:off x="4552361" y="20542787"/>
            <a:ext cx="965455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Email:</a:t>
            </a:r>
          </a:p>
        </xdr:txBody>
      </xdr:sp>
      <xdr:sp fLocksText="0">
        <xdr:nvSpPr>
          <xdr:cNvPr id="17" name="TextBox 45"/>
          <xdr:cNvSpPr txBox="1">
            <a:spLocks noChangeAspect="1" noChangeArrowheads="1"/>
          </xdr:cNvSpPr>
        </xdr:nvSpPr>
        <xdr:spPr>
          <a:xfrm>
            <a:off x="5383725" y="20556644"/>
            <a:ext cx="3837237" cy="340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46"/>
          <xdr:cNvSpPr>
            <a:spLocks/>
          </xdr:cNvSpPr>
        </xdr:nvSpPr>
        <xdr:spPr>
          <a:xfrm>
            <a:off x="6530203" y="20250721"/>
            <a:ext cx="141689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Box 47"/>
          <xdr:cNvSpPr txBox="1">
            <a:spLocks noChangeArrowheads="1"/>
          </xdr:cNvSpPr>
        </xdr:nvSpPr>
        <xdr:spPr>
          <a:xfrm>
            <a:off x="5982665" y="19945863"/>
            <a:ext cx="708447" cy="405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Zip:</a:t>
            </a:r>
          </a:p>
        </xdr:txBody>
      </xdr:sp>
      <xdr:sp>
        <xdr:nvSpPr>
          <xdr:cNvPr id="20" name="Straight Connector 48"/>
          <xdr:cNvSpPr>
            <a:spLocks/>
          </xdr:cNvSpPr>
        </xdr:nvSpPr>
        <xdr:spPr>
          <a:xfrm flipV="1">
            <a:off x="1747625" y="19273259"/>
            <a:ext cx="68855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traight Connector 49"/>
          <xdr:cNvSpPr>
            <a:spLocks/>
          </xdr:cNvSpPr>
        </xdr:nvSpPr>
        <xdr:spPr>
          <a:xfrm flipV="1">
            <a:off x="1586715" y="18698720"/>
            <a:ext cx="68855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traight Connector 50"/>
          <xdr:cNvSpPr>
            <a:spLocks/>
          </xdr:cNvSpPr>
        </xdr:nvSpPr>
        <xdr:spPr>
          <a:xfrm flipV="1">
            <a:off x="1267132" y="20221940"/>
            <a:ext cx="325617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traight Connector 51"/>
          <xdr:cNvSpPr>
            <a:spLocks/>
          </xdr:cNvSpPr>
        </xdr:nvSpPr>
        <xdr:spPr>
          <a:xfrm flipV="1">
            <a:off x="5271983" y="20242193"/>
            <a:ext cx="62575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52"/>
          <xdr:cNvSpPr>
            <a:spLocks/>
          </xdr:cNvSpPr>
        </xdr:nvSpPr>
        <xdr:spPr>
          <a:xfrm flipV="1">
            <a:off x="1483912" y="20846578"/>
            <a:ext cx="309303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53"/>
          <xdr:cNvSpPr>
            <a:spLocks/>
          </xdr:cNvSpPr>
        </xdr:nvSpPr>
        <xdr:spPr>
          <a:xfrm flipV="1">
            <a:off x="5303271" y="20832721"/>
            <a:ext cx="386852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40" name="Table40" displayName="Table40" ref="E13:E14" totalsRowShown="0">
  <autoFilter ref="E13:E14"/>
  <tableColumns count="1">
    <tableColumn id="1" name="Dark Pounds Needed to Balance Order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4" name="Table152135" displayName="Table152135" ref="H17:H18" totalsRowShown="0">
  <autoFilter ref="H17:H18"/>
  <tableColumns count="1">
    <tableColumn id="1" name="Mango Jalapeno Meatball Cases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le204" displayName="Table204" ref="G13:J14" totalsRowShown="0">
  <autoFilter ref="G13:J14"/>
  <tableColumns count="4">
    <tableColumn id="2" name=" Sausage Dark Cases"/>
    <tableColumn id="3" name="Dark Servings "/>
    <tableColumn id="4" name="Dark Servings Rounded to nearest Case"/>
    <tableColumn id="5" name="Dark Cases Rounded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9" name="Table20" displayName="Table20" ref="G16:J17" totalsRowShown="0">
  <autoFilter ref="G16:J17"/>
  <tableColumns count="4">
    <tableColumn id="2" name="Popper Dark Cases"/>
    <tableColumn id="3" name="Dark Servings "/>
    <tableColumn id="4" name="Dark Servings Rounded to nearest Case"/>
    <tableColumn id="5" name="Dark Cases Rounded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5" name="Table206" displayName="Table206" ref="G20:J21" totalsRowShown="0">
  <autoFilter ref="G20:J21"/>
  <tableColumns count="4">
    <tableColumn id="2" name="Garlic Basil Meatball Cases"/>
    <tableColumn id="3" name="Dark Servings "/>
    <tableColumn id="4" name="Dark Servings Rounded to nearest Case"/>
    <tableColumn id="5" name="Dark Cases Rounded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6" name="Table2067" displayName="Table2067" ref="G24:J25" totalsRowShown="0">
  <autoFilter ref="G24:J25"/>
  <tableColumns count="4">
    <tableColumn id="2" name="Mango Jalapeno Meatball Cases"/>
    <tableColumn id="3" name="Dark Servings "/>
    <tableColumn id="4" name="Dark Servings Rounded to nearest Case"/>
    <tableColumn id="5" name="Dark Cases Rounded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20" name="Table1521" displayName="Table1521" ref="F17:F18" totalsRowShown="0">
  <autoFilter ref="F17:F18"/>
  <tableColumns count="1">
    <tableColumn id="1" name="Popper Dark Meat Formed Cases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31" name="Table15332" displayName="Table15332" ref="E17:E18" totalsRowShown="0">
  <autoFilter ref="E17:E18"/>
  <tableColumns count="1">
    <tableColumn id="1" name="Sausage Dark Meat Formed Cases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1" name="Table153322" displayName="Table153322" ref="E13:E14" totalsRowShown="0">
  <autoFilter ref="E13:E14"/>
  <tableColumns count="1">
    <tableColumn id="1" name="Dark Meat DF Pounds Required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id="2" name="Table15213" displayName="Table15213" ref="G17:G18" totalsRowShown="0">
  <autoFilter ref="G17:G18"/>
  <tableColumns count="1">
    <tableColumn id="1" name="Garlic Basil Meatball  Cases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145"/>
  <sheetViews>
    <sheetView showGridLines="0" zoomScale="70" zoomScaleNormal="70" zoomScaleSheetLayoutView="55" zoomScalePageLayoutView="70" workbookViewId="0" topLeftCell="B1">
      <selection activeCell="J14" sqref="J14"/>
    </sheetView>
  </sheetViews>
  <sheetFormatPr defaultColWidth="9.140625" defaultRowHeight="15"/>
  <cols>
    <col min="1" max="1" width="0" style="1" hidden="1" customWidth="1"/>
    <col min="2" max="2" width="9.140625" style="1" customWidth="1"/>
    <col min="3" max="3" width="13.57421875" style="1" customWidth="1"/>
    <col min="4" max="4" width="80.7109375" style="1" customWidth="1"/>
    <col min="5" max="8" width="22.7109375" style="1" customWidth="1"/>
    <col min="9" max="9" width="22.7109375" style="2" customWidth="1"/>
    <col min="10" max="10" width="22.7109375" style="1" customWidth="1"/>
    <col min="11" max="13" width="22.7109375" style="3" customWidth="1"/>
    <col min="14" max="16" width="22.7109375" style="1" customWidth="1"/>
    <col min="17" max="17" width="17.7109375" style="1" customWidth="1"/>
    <col min="18" max="18" width="9.140625" style="1" customWidth="1"/>
    <col min="19" max="19" width="47.8515625" style="1" bestFit="1" customWidth="1"/>
    <col min="20" max="20" width="20.00390625" style="1" customWidth="1"/>
    <col min="21" max="21" width="21.7109375" style="1" customWidth="1"/>
    <col min="22" max="22" width="50.8515625" style="1" bestFit="1" customWidth="1"/>
    <col min="23" max="23" width="28.7109375" style="1" customWidth="1"/>
    <col min="24" max="25" width="21.7109375" style="1" customWidth="1"/>
    <col min="26" max="28" width="9.140625" style="1" customWidth="1"/>
    <col min="29" max="29" width="21.421875" style="1" customWidth="1"/>
    <col min="30" max="33" width="9.140625" style="1" customWidth="1"/>
    <col min="34" max="16384" width="9.140625" style="1" customWidth="1"/>
  </cols>
  <sheetData>
    <row r="1" spans="3:17" ht="22.5" customHeight="1">
      <c r="C1" s="13"/>
      <c r="Q1" s="8"/>
    </row>
    <row r="2" ht="22.5" customHeight="1">
      <c r="Q2" s="8"/>
    </row>
    <row r="3" spans="5:17" ht="22.5" customHeight="1">
      <c r="E3" s="12"/>
      <c r="F3" s="10"/>
      <c r="Q3" s="8"/>
    </row>
    <row r="4" spans="5:17" ht="22.5" customHeight="1">
      <c r="E4" s="11"/>
      <c r="Q4" s="8"/>
    </row>
    <row r="5" ht="22.5" customHeight="1">
      <c r="Q5" s="8"/>
    </row>
    <row r="6" ht="22.5" customHeight="1">
      <c r="Q6" s="8"/>
    </row>
    <row r="7" spans="4:17" ht="22.5" customHeight="1">
      <c r="D7" s="13"/>
      <c r="E7" s="13"/>
      <c r="Q7" s="8"/>
    </row>
    <row r="8" spans="4:17" ht="22.5" customHeight="1">
      <c r="D8" s="13"/>
      <c r="E8" s="13"/>
      <c r="Q8" s="8"/>
    </row>
    <row r="9" spans="5:17" ht="22.5" customHeight="1">
      <c r="E9" s="33"/>
      <c r="F9" s="4"/>
      <c r="Q9" s="8"/>
    </row>
    <row r="10" spans="5:17" ht="22.5" customHeight="1">
      <c r="E10" s="33"/>
      <c r="F10" s="4"/>
      <c r="Q10" s="8"/>
    </row>
    <row r="11" spans="3:17" ht="49.5" customHeight="1">
      <c r="C11" s="193" t="s">
        <v>9</v>
      </c>
      <c r="D11" s="193"/>
      <c r="E11" s="193"/>
      <c r="F11" s="193"/>
      <c r="G11" s="79"/>
      <c r="H11" s="79"/>
      <c r="I11" s="80"/>
      <c r="J11" s="79"/>
      <c r="K11" s="79"/>
      <c r="L11" s="79"/>
      <c r="M11" s="34"/>
      <c r="N11" s="35"/>
      <c r="O11" s="35"/>
      <c r="P11" s="35"/>
      <c r="Q11" s="8"/>
    </row>
    <row r="12" spans="3:16" s="8" customFormat="1" ht="42" customHeight="1">
      <c r="C12" s="68" t="s">
        <v>0</v>
      </c>
      <c r="D12" s="69" t="s">
        <v>1</v>
      </c>
      <c r="E12" s="69" t="s">
        <v>23</v>
      </c>
      <c r="F12" s="69" t="s">
        <v>27</v>
      </c>
      <c r="G12" s="69" t="s">
        <v>26</v>
      </c>
      <c r="H12" s="69" t="s">
        <v>2</v>
      </c>
      <c r="I12" s="68" t="s">
        <v>24</v>
      </c>
      <c r="J12" s="68" t="s">
        <v>33</v>
      </c>
      <c r="K12" s="68" t="s">
        <v>37</v>
      </c>
      <c r="L12" s="68" t="s">
        <v>47</v>
      </c>
      <c r="M12" s="68" t="s">
        <v>7</v>
      </c>
      <c r="N12" s="68" t="s">
        <v>25</v>
      </c>
      <c r="O12" s="68" t="s">
        <v>30</v>
      </c>
      <c r="P12" s="68" t="s">
        <v>31</v>
      </c>
    </row>
    <row r="13" spans="3:17" s="14" customFormat="1" ht="19.5" customHeight="1">
      <c r="C13" s="46" t="s">
        <v>8</v>
      </c>
      <c r="D13" s="47"/>
      <c r="E13" s="47"/>
      <c r="F13" s="47"/>
      <c r="G13" s="47"/>
      <c r="H13" s="48"/>
      <c r="I13" s="49"/>
      <c r="J13" s="49"/>
      <c r="K13" s="73"/>
      <c r="L13" s="73"/>
      <c r="M13" s="51"/>
      <c r="N13" s="52"/>
      <c r="O13" s="52"/>
      <c r="P13" s="53"/>
      <c r="Q13" s="8"/>
    </row>
    <row r="14" spans="3:17" s="14" customFormat="1" ht="19.5" customHeight="1">
      <c r="C14" s="16">
        <v>13408</v>
      </c>
      <c r="D14" s="17" t="s">
        <v>12</v>
      </c>
      <c r="E14" s="18">
        <v>20.08</v>
      </c>
      <c r="F14" s="18" t="s">
        <v>32</v>
      </c>
      <c r="G14" s="39">
        <v>0</v>
      </c>
      <c r="H14" s="19" t="s">
        <v>20</v>
      </c>
      <c r="I14" s="43">
        <v>78</v>
      </c>
      <c r="J14" s="75"/>
      <c r="K14" s="106">
        <f>MROUND('Servings to DF Pounds'!$J14,78)</f>
        <v>0</v>
      </c>
      <c r="L14" s="112">
        <f>'Servings to DF Pounds'!$K14/'Servings to DF Pounds'!$I14</f>
        <v>0</v>
      </c>
      <c r="M14" s="118">
        <f>'Servings to DF Pounds'!$L14*'Servings to DF Pounds'!$I14</f>
        <v>0</v>
      </c>
      <c r="N14" s="45">
        <f>'Servings to DF Pounds'!$L14*20.28</f>
        <v>0</v>
      </c>
      <c r="O14" s="76">
        <f>'Servings to DF Pounds'!$L14*21.28</f>
        <v>0</v>
      </c>
      <c r="P14" s="70"/>
      <c r="Q14" s="8"/>
    </row>
    <row r="15" spans="3:17" s="14" customFormat="1" ht="19.5" customHeight="1">
      <c r="C15" s="16">
        <v>13440</v>
      </c>
      <c r="D15" s="17" t="s">
        <v>80</v>
      </c>
      <c r="E15" s="18">
        <v>20.08</v>
      </c>
      <c r="F15" s="18" t="s">
        <v>32</v>
      </c>
      <c r="G15" s="39">
        <v>0</v>
      </c>
      <c r="H15" s="19" t="s">
        <v>3</v>
      </c>
      <c r="I15" s="43">
        <v>78</v>
      </c>
      <c r="J15" s="75"/>
      <c r="K15" s="106">
        <f>MROUND('Servings to DF Pounds'!$J15,78)</f>
        <v>0</v>
      </c>
      <c r="L15" s="112">
        <f>'Servings to DF Pounds'!$K15/'Servings to DF Pounds'!$I15</f>
        <v>0</v>
      </c>
      <c r="M15" s="118">
        <f>'Servings to DF Pounds'!$L15*'Servings to DF Pounds'!$I15</f>
        <v>0</v>
      </c>
      <c r="N15" s="45">
        <f>'Servings to DF Pounds'!$L15*20.28</f>
        <v>0</v>
      </c>
      <c r="O15" s="76">
        <f>'Servings to DF Pounds'!$L15*21.28</f>
        <v>0</v>
      </c>
      <c r="P15" s="70"/>
      <c r="Q15" s="8"/>
    </row>
    <row r="16" spans="3:23" s="14" customFormat="1" ht="19.5" customHeight="1">
      <c r="C16" s="20">
        <v>13410</v>
      </c>
      <c r="D16" s="21" t="s">
        <v>81</v>
      </c>
      <c r="E16" s="18">
        <v>20.08</v>
      </c>
      <c r="F16" s="18" t="s">
        <v>32</v>
      </c>
      <c r="G16" s="39">
        <v>0</v>
      </c>
      <c r="H16" s="22" t="s">
        <v>93</v>
      </c>
      <c r="I16" s="41">
        <v>77</v>
      </c>
      <c r="J16" s="75"/>
      <c r="K16" s="107">
        <f>MROUND('Servings to DF Pounds'!$J16,77)</f>
        <v>0</v>
      </c>
      <c r="L16" s="113">
        <f>'Servings to DF Pounds'!$K16/'Servings to DF Pounds'!$I16</f>
        <v>0</v>
      </c>
      <c r="M16" s="118">
        <f>'Servings to DF Pounds'!$L16*'Servings to DF Pounds'!$I16</f>
        <v>0</v>
      </c>
      <c r="N16" s="45">
        <f>'Servings to DF Pounds'!$L16*20.28</f>
        <v>0</v>
      </c>
      <c r="O16" s="76">
        <f>'Servings to DF Pounds'!$L16*21.28</f>
        <v>0</v>
      </c>
      <c r="P16" s="67"/>
      <c r="Q16" s="8"/>
      <c r="S16" s="88"/>
      <c r="T16" s="5"/>
      <c r="U16" s="5"/>
      <c r="V16" s="5"/>
      <c r="W16" s="5"/>
    </row>
    <row r="17" spans="3:23" s="14" customFormat="1" ht="19.5" customHeight="1">
      <c r="C17" s="20">
        <v>13443</v>
      </c>
      <c r="D17" s="21" t="s">
        <v>124</v>
      </c>
      <c r="E17" s="18">
        <v>20.08</v>
      </c>
      <c r="F17" s="18" t="s">
        <v>32</v>
      </c>
      <c r="G17" s="39">
        <v>0</v>
      </c>
      <c r="H17" s="22" t="s">
        <v>71</v>
      </c>
      <c r="I17" s="41">
        <v>77</v>
      </c>
      <c r="J17" s="75"/>
      <c r="K17" s="107">
        <f>MROUND('Servings to DF Pounds'!$J17,77)</f>
        <v>0</v>
      </c>
      <c r="L17" s="113">
        <f>'Servings to DF Pounds'!$K17/'Servings to DF Pounds'!$I17</f>
        <v>0</v>
      </c>
      <c r="M17" s="118">
        <f>'Servings to DF Pounds'!$L17*'Servings to DF Pounds'!$I17</f>
        <v>0</v>
      </c>
      <c r="N17" s="45">
        <f>'Servings to DF Pounds'!$L17*20.28</f>
        <v>0</v>
      </c>
      <c r="O17" s="76">
        <f>'Servings to DF Pounds'!$L17*21.28</f>
        <v>0</v>
      </c>
      <c r="P17" s="67"/>
      <c r="Q17" s="8"/>
      <c r="S17" s="88"/>
      <c r="T17" s="5"/>
      <c r="U17" s="5"/>
      <c r="V17" s="5"/>
      <c r="W17" s="5"/>
    </row>
    <row r="18" spans="3:17" s="14" customFormat="1" ht="19.5" customHeight="1">
      <c r="C18" s="20">
        <v>13415</v>
      </c>
      <c r="D18" s="21" t="s">
        <v>13</v>
      </c>
      <c r="E18" s="18">
        <v>20.08</v>
      </c>
      <c r="F18" s="18" t="s">
        <v>32</v>
      </c>
      <c r="G18" s="39">
        <v>0</v>
      </c>
      <c r="H18" s="22" t="s">
        <v>95</v>
      </c>
      <c r="I18" s="41">
        <v>160</v>
      </c>
      <c r="J18" s="75"/>
      <c r="K18" s="107">
        <f>MROUND('Servings to DF Pounds'!$J18,160)</f>
        <v>0</v>
      </c>
      <c r="L18" s="113">
        <f>'Servings to DF Pounds'!$K18/'Servings to DF Pounds'!$I18</f>
        <v>0</v>
      </c>
      <c r="M18" s="118">
        <f>'Servings to DF Pounds'!$L18*'Servings to DF Pounds'!$I18</f>
        <v>0</v>
      </c>
      <c r="N18" s="45">
        <f>'Servings to DF Pounds'!$L18*20.28</f>
        <v>0</v>
      </c>
      <c r="O18" s="76">
        <f>'Servings to DF Pounds'!$L18*21.28</f>
        <v>0</v>
      </c>
      <c r="P18" s="67"/>
      <c r="Q18" s="8"/>
    </row>
    <row r="19" spans="3:17" s="14" customFormat="1" ht="19.5" customHeight="1">
      <c r="C19" s="20">
        <v>13441</v>
      </c>
      <c r="D19" s="21" t="s">
        <v>82</v>
      </c>
      <c r="E19" s="18">
        <v>20.08</v>
      </c>
      <c r="F19" s="18" t="s">
        <v>32</v>
      </c>
      <c r="G19" s="39">
        <v>0</v>
      </c>
      <c r="H19" s="22" t="s">
        <v>96</v>
      </c>
      <c r="I19" s="41">
        <v>156</v>
      </c>
      <c r="J19" s="75"/>
      <c r="K19" s="107">
        <f>MROUND('Servings to DF Pounds'!$J19,156)</f>
        <v>0</v>
      </c>
      <c r="L19" s="113">
        <f>'Servings to DF Pounds'!$K19/'Servings to DF Pounds'!$I19</f>
        <v>0</v>
      </c>
      <c r="M19" s="118">
        <f>'Servings to DF Pounds'!$L19*'Servings to DF Pounds'!$I19</f>
        <v>0</v>
      </c>
      <c r="N19" s="45">
        <f>'Servings to DF Pounds'!$L19*20.28</f>
        <v>0</v>
      </c>
      <c r="O19" s="76">
        <f>'Servings to DF Pounds'!$L19*21.28</f>
        <v>0</v>
      </c>
      <c r="P19" s="67"/>
      <c r="Q19" s="8"/>
    </row>
    <row r="20" spans="3:17" s="14" customFormat="1" ht="19.5" customHeight="1">
      <c r="C20" s="20">
        <v>13444</v>
      </c>
      <c r="D20" s="21" t="s">
        <v>122</v>
      </c>
      <c r="E20" s="18">
        <v>20.08</v>
      </c>
      <c r="F20" s="18" t="s">
        <v>32</v>
      </c>
      <c r="G20" s="39">
        <v>0</v>
      </c>
      <c r="H20" s="22" t="s">
        <v>97</v>
      </c>
      <c r="I20" s="41">
        <v>160</v>
      </c>
      <c r="J20" s="75"/>
      <c r="K20" s="107">
        <f>MROUND('Servings to DF Pounds'!$J20,160)</f>
        <v>0</v>
      </c>
      <c r="L20" s="113">
        <f>'Servings to DF Pounds'!$K20/'Servings to DF Pounds'!$I20</f>
        <v>0</v>
      </c>
      <c r="M20" s="118">
        <f>'Servings to DF Pounds'!$L20*'Servings to DF Pounds'!$I20</f>
        <v>0</v>
      </c>
      <c r="N20" s="45">
        <f>'Servings to DF Pounds'!$L20*20.28</f>
        <v>0</v>
      </c>
      <c r="O20" s="76">
        <f>'Servings to DF Pounds'!$L20*21.28</f>
        <v>0</v>
      </c>
      <c r="P20" s="67"/>
      <c r="Q20" s="8"/>
    </row>
    <row r="21" spans="3:17" s="14" customFormat="1" ht="19.5" customHeight="1">
      <c r="C21" s="20">
        <v>23403</v>
      </c>
      <c r="D21" s="21" t="s">
        <v>14</v>
      </c>
      <c r="E21" s="18">
        <v>20.08</v>
      </c>
      <c r="F21" s="18" t="s">
        <v>32</v>
      </c>
      <c r="G21" s="39">
        <v>0</v>
      </c>
      <c r="H21" s="22" t="s">
        <v>22</v>
      </c>
      <c r="I21" s="41">
        <v>78</v>
      </c>
      <c r="J21" s="75"/>
      <c r="K21" s="107">
        <f>MROUND('Servings to DF Pounds'!$J21,78)</f>
        <v>0</v>
      </c>
      <c r="L21" s="113">
        <f>'Servings to DF Pounds'!$K21/'Servings to DF Pounds'!$I21</f>
        <v>0</v>
      </c>
      <c r="M21" s="118">
        <f>'Servings to DF Pounds'!$L21*'Servings to DF Pounds'!$I21</f>
        <v>0</v>
      </c>
      <c r="N21" s="45">
        <f>'Servings to DF Pounds'!$L21*20.28</f>
        <v>0</v>
      </c>
      <c r="O21" s="76">
        <f>'Servings to DF Pounds'!$L21*21.28</f>
        <v>0</v>
      </c>
      <c r="P21" s="67"/>
      <c r="Q21" s="8"/>
    </row>
    <row r="22" spans="3:17" s="14" customFormat="1" ht="19.5" customHeight="1">
      <c r="C22" s="20">
        <v>23415</v>
      </c>
      <c r="D22" s="21" t="s">
        <v>83</v>
      </c>
      <c r="E22" s="18">
        <v>20.08</v>
      </c>
      <c r="F22" s="18" t="s">
        <v>32</v>
      </c>
      <c r="G22" s="39">
        <v>0</v>
      </c>
      <c r="H22" s="22" t="s">
        <v>98</v>
      </c>
      <c r="I22" s="41">
        <v>78</v>
      </c>
      <c r="J22" s="75"/>
      <c r="K22" s="107">
        <f>MROUND('Servings to DF Pounds'!$J22,78)</f>
        <v>0</v>
      </c>
      <c r="L22" s="113">
        <f>'Servings to DF Pounds'!$K22/'Servings to DF Pounds'!$I22</f>
        <v>0</v>
      </c>
      <c r="M22" s="118">
        <f>'Servings to DF Pounds'!$L22*'Servings to DF Pounds'!$I22</f>
        <v>0</v>
      </c>
      <c r="N22" s="45">
        <f>'Servings to DF Pounds'!$L22*20.28</f>
        <v>0</v>
      </c>
      <c r="O22" s="76">
        <f>'Servings to DF Pounds'!$L22*21.28</f>
        <v>0</v>
      </c>
      <c r="P22" s="67"/>
      <c r="Q22" s="8"/>
    </row>
    <row r="23" spans="3:17" s="14" customFormat="1" ht="19.5" customHeight="1">
      <c r="C23" s="20">
        <v>23404</v>
      </c>
      <c r="D23" s="21" t="s">
        <v>84</v>
      </c>
      <c r="E23" s="18">
        <v>20.08</v>
      </c>
      <c r="F23" s="18" t="s">
        <v>32</v>
      </c>
      <c r="G23" s="39">
        <v>0</v>
      </c>
      <c r="H23" s="22" t="s">
        <v>99</v>
      </c>
      <c r="I23" s="41">
        <v>78</v>
      </c>
      <c r="J23" s="75"/>
      <c r="K23" s="107">
        <f>MROUND('Servings to DF Pounds'!$J23,78)</f>
        <v>0</v>
      </c>
      <c r="L23" s="113">
        <f>'Servings to DF Pounds'!$K23/'Servings to DF Pounds'!$I23</f>
        <v>0</v>
      </c>
      <c r="M23" s="118">
        <f>'Servings to DF Pounds'!$L23*'Servings to DF Pounds'!$I23</f>
        <v>0</v>
      </c>
      <c r="N23" s="45">
        <f>'Servings to DF Pounds'!$L23*20.28</f>
        <v>0</v>
      </c>
      <c r="O23" s="76">
        <f>'Servings to DF Pounds'!$L23*21.28</f>
        <v>0</v>
      </c>
      <c r="P23" s="67"/>
      <c r="Q23" s="8"/>
    </row>
    <row r="24" spans="3:17" s="14" customFormat="1" ht="19.5" customHeight="1">
      <c r="C24" s="20">
        <v>23417</v>
      </c>
      <c r="D24" s="21" t="s">
        <v>123</v>
      </c>
      <c r="E24" s="18">
        <v>20.08</v>
      </c>
      <c r="F24" s="18" t="s">
        <v>32</v>
      </c>
      <c r="G24" s="39">
        <v>0</v>
      </c>
      <c r="H24" s="22" t="s">
        <v>73</v>
      </c>
      <c r="I24" s="41">
        <v>77</v>
      </c>
      <c r="J24" s="75"/>
      <c r="K24" s="107">
        <f>MROUND('Servings to DF Pounds'!$J24,77)</f>
        <v>0</v>
      </c>
      <c r="L24" s="113">
        <f>'Servings to DF Pounds'!$K24/'Servings to DF Pounds'!$I24</f>
        <v>0</v>
      </c>
      <c r="M24" s="118">
        <f>'Servings to DF Pounds'!$L24*'Servings to DF Pounds'!$I24</f>
        <v>0</v>
      </c>
      <c r="N24" s="45">
        <f>'Servings to DF Pounds'!$L24*20.28</f>
        <v>0</v>
      </c>
      <c r="O24" s="76">
        <f>'Servings to DF Pounds'!$L24*21.28</f>
        <v>0</v>
      </c>
      <c r="P24" s="67"/>
      <c r="Q24" s="8"/>
    </row>
    <row r="25" spans="3:17" s="14" customFormat="1" ht="19.5" customHeight="1">
      <c r="C25" s="20">
        <v>43403</v>
      </c>
      <c r="D25" s="21" t="s">
        <v>15</v>
      </c>
      <c r="E25" s="18">
        <v>20.08</v>
      </c>
      <c r="F25" s="18" t="s">
        <v>32</v>
      </c>
      <c r="G25" s="39">
        <v>0</v>
      </c>
      <c r="H25" s="22" t="s">
        <v>21</v>
      </c>
      <c r="I25" s="41">
        <v>80</v>
      </c>
      <c r="J25" s="75"/>
      <c r="K25" s="107">
        <f>MROUND('Servings to DF Pounds'!$J25,80)</f>
        <v>0</v>
      </c>
      <c r="L25" s="113">
        <f>'Servings to DF Pounds'!$K25/'Servings to DF Pounds'!$I25</f>
        <v>0</v>
      </c>
      <c r="M25" s="118">
        <f>'Servings to DF Pounds'!$L25*'Servings to DF Pounds'!$I25</f>
        <v>0</v>
      </c>
      <c r="N25" s="45">
        <f>'Servings to DF Pounds'!$L25*20.28</f>
        <v>0</v>
      </c>
      <c r="O25" s="76">
        <f>'Servings to DF Pounds'!$L25*21.28</f>
        <v>0</v>
      </c>
      <c r="P25" s="67"/>
      <c r="Q25" s="8"/>
    </row>
    <row r="26" spans="3:17" s="14" customFormat="1" ht="19.5" customHeight="1">
      <c r="C26" s="23">
        <v>43424</v>
      </c>
      <c r="D26" s="24" t="s">
        <v>85</v>
      </c>
      <c r="E26" s="18">
        <v>20.08</v>
      </c>
      <c r="F26" s="18" t="s">
        <v>32</v>
      </c>
      <c r="G26" s="39">
        <v>0</v>
      </c>
      <c r="H26" s="22" t="s">
        <v>94</v>
      </c>
      <c r="I26" s="41">
        <v>80</v>
      </c>
      <c r="J26" s="75"/>
      <c r="K26" s="108">
        <f>MROUND('Servings to DF Pounds'!$J26,80)</f>
        <v>0</v>
      </c>
      <c r="L26" s="114">
        <f>'Servings to DF Pounds'!$K26/'Servings to DF Pounds'!$I26</f>
        <v>0</v>
      </c>
      <c r="M26" s="118">
        <f>'Servings to DF Pounds'!$L26*'Servings to DF Pounds'!$I26</f>
        <v>0</v>
      </c>
      <c r="N26" s="45">
        <f>'Servings to DF Pounds'!$L26*20.28</f>
        <v>0</v>
      </c>
      <c r="O26" s="76">
        <f>'Servings to DF Pounds'!$L26*21.28</f>
        <v>0</v>
      </c>
      <c r="P26" s="71"/>
      <c r="Q26" s="8"/>
    </row>
    <row r="27" spans="3:17" s="14" customFormat="1" ht="19.5" customHeight="1">
      <c r="C27" s="23">
        <v>43404</v>
      </c>
      <c r="D27" s="24" t="s">
        <v>86</v>
      </c>
      <c r="E27" s="18">
        <v>20.08</v>
      </c>
      <c r="F27" s="18" t="s">
        <v>32</v>
      </c>
      <c r="G27" s="39">
        <v>0</v>
      </c>
      <c r="H27" s="25" t="s">
        <v>72</v>
      </c>
      <c r="I27" s="55">
        <v>80</v>
      </c>
      <c r="J27" s="75"/>
      <c r="K27" s="108">
        <f>MROUND('Servings to DF Pounds'!$J27,80)</f>
        <v>0</v>
      </c>
      <c r="L27" s="114">
        <f>'Servings to DF Pounds'!$K27/'Servings to DF Pounds'!$I27</f>
        <v>0</v>
      </c>
      <c r="M27" s="118">
        <f>'Servings to DF Pounds'!$L27*'Servings to DF Pounds'!$I27</f>
        <v>0</v>
      </c>
      <c r="N27" s="45">
        <f>'Servings to DF Pounds'!$L27*20.28</f>
        <v>0</v>
      </c>
      <c r="O27" s="76">
        <f>'Servings to DF Pounds'!$L27*21.28</f>
        <v>0</v>
      </c>
      <c r="P27" s="71"/>
      <c r="Q27" s="8"/>
    </row>
    <row r="28" spans="3:17" s="14" customFormat="1" ht="19.5" customHeight="1">
      <c r="C28" s="46" t="s">
        <v>10</v>
      </c>
      <c r="D28" s="57"/>
      <c r="E28" s="57"/>
      <c r="F28" s="57"/>
      <c r="G28" s="57"/>
      <c r="H28" s="58"/>
      <c r="I28" s="59"/>
      <c r="J28" s="59"/>
      <c r="K28" s="74"/>
      <c r="L28" s="111"/>
      <c r="M28" s="119"/>
      <c r="N28" s="60"/>
      <c r="O28" s="60"/>
      <c r="P28" s="62"/>
      <c r="Q28" s="8"/>
    </row>
    <row r="29" spans="3:17" s="14" customFormat="1" ht="19.5" customHeight="1">
      <c r="C29" s="16">
        <v>54485</v>
      </c>
      <c r="D29" s="17" t="s">
        <v>87</v>
      </c>
      <c r="E29" s="18">
        <v>20.08</v>
      </c>
      <c r="F29" s="18" t="s">
        <v>32</v>
      </c>
      <c r="G29" s="39">
        <v>0</v>
      </c>
      <c r="H29" s="19" t="s">
        <v>100</v>
      </c>
      <c r="I29" s="56">
        <v>76</v>
      </c>
      <c r="J29" s="75"/>
      <c r="K29" s="109">
        <f>MROUND('Servings to DF Pounds'!$J29,76)</f>
        <v>0</v>
      </c>
      <c r="L29" s="112">
        <f>'Servings to DF Pounds'!$K29/'Servings to DF Pounds'!$I29</f>
        <v>0</v>
      </c>
      <c r="M29" s="118">
        <f>'Servings to DF Pounds'!$L29*'Servings to DF Pounds'!$I29</f>
        <v>0</v>
      </c>
      <c r="N29" s="45">
        <f>'Servings to DF Pounds'!$L29*20.28</f>
        <v>0</v>
      </c>
      <c r="O29" s="76">
        <f>'Servings to DF Pounds'!$L29*21.28</f>
        <v>0</v>
      </c>
      <c r="P29" s="70"/>
      <c r="Q29" s="8"/>
    </row>
    <row r="30" spans="3:16" s="8" customFormat="1" ht="19.5" customHeight="1">
      <c r="C30" s="20">
        <v>54486</v>
      </c>
      <c r="D30" s="21" t="s">
        <v>88</v>
      </c>
      <c r="E30" s="18">
        <v>20.08</v>
      </c>
      <c r="F30" s="18" t="s">
        <v>32</v>
      </c>
      <c r="G30" s="40">
        <v>0</v>
      </c>
      <c r="H30" s="22" t="s">
        <v>101</v>
      </c>
      <c r="I30" s="42">
        <v>78</v>
      </c>
      <c r="J30" s="75"/>
      <c r="K30" s="110">
        <f>MROUND('Servings to DF Pounds'!$J30,78)</f>
        <v>0</v>
      </c>
      <c r="L30" s="113">
        <f>'Servings to DF Pounds'!$K30/'Servings to DF Pounds'!$I30</f>
        <v>0</v>
      </c>
      <c r="M30" s="118">
        <f>'Servings to DF Pounds'!$L30*'Servings to DF Pounds'!$I30</f>
        <v>0</v>
      </c>
      <c r="N30" s="45">
        <f>'Servings to DF Pounds'!$L30*20.28</f>
        <v>0</v>
      </c>
      <c r="O30" s="76">
        <f>'Servings to DF Pounds'!$L30*21.28</f>
        <v>0</v>
      </c>
      <c r="P30" s="67"/>
    </row>
    <row r="31" spans="3:17" ht="19.5" customHeight="1">
      <c r="C31" s="20">
        <v>54487</v>
      </c>
      <c r="D31" s="21" t="s">
        <v>89</v>
      </c>
      <c r="E31" s="18">
        <v>20.08</v>
      </c>
      <c r="F31" s="18" t="s">
        <v>32</v>
      </c>
      <c r="G31" s="40">
        <v>0</v>
      </c>
      <c r="H31" s="22" t="s">
        <v>102</v>
      </c>
      <c r="I31" s="42">
        <v>76</v>
      </c>
      <c r="J31" s="75"/>
      <c r="K31" s="110">
        <f>MROUND('Servings to DF Pounds'!$J31,76)</f>
        <v>0</v>
      </c>
      <c r="L31" s="113">
        <f>'Servings to DF Pounds'!$K31/'Servings to DF Pounds'!$I31</f>
        <v>0</v>
      </c>
      <c r="M31" s="118">
        <f>'Servings to DF Pounds'!$L31*'Servings to DF Pounds'!$I31</f>
        <v>0</v>
      </c>
      <c r="N31" s="45">
        <f>'Servings to DF Pounds'!$L31*20.28</f>
        <v>0</v>
      </c>
      <c r="O31" s="76">
        <f>'Servings to DF Pounds'!$L31*21.28</f>
        <v>0</v>
      </c>
      <c r="P31" s="67"/>
      <c r="Q31" s="8"/>
    </row>
    <row r="32" spans="3:17" ht="19.5" customHeight="1">
      <c r="C32" s="20">
        <v>54496</v>
      </c>
      <c r="D32" s="21" t="s">
        <v>90</v>
      </c>
      <c r="E32" s="18">
        <v>20.08</v>
      </c>
      <c r="F32" s="18" t="s">
        <v>32</v>
      </c>
      <c r="G32" s="40">
        <v>0</v>
      </c>
      <c r="H32" s="22" t="s">
        <v>93</v>
      </c>
      <c r="I32" s="42">
        <v>78</v>
      </c>
      <c r="J32" s="75"/>
      <c r="K32" s="110">
        <f>MROUND('Servings to DF Pounds'!$J32,78)</f>
        <v>0</v>
      </c>
      <c r="L32" s="113">
        <f>'Servings to DF Pounds'!$K32/'Servings to DF Pounds'!$I32</f>
        <v>0</v>
      </c>
      <c r="M32" s="118">
        <f>'Servings to DF Pounds'!$L32*'Servings to DF Pounds'!$I32</f>
        <v>0</v>
      </c>
      <c r="N32" s="45">
        <f>'Servings to DF Pounds'!$L32*20.28</f>
        <v>0</v>
      </c>
      <c r="O32" s="76">
        <f>'Servings to DF Pounds'!$L32*21.28</f>
        <v>0</v>
      </c>
      <c r="P32" s="67"/>
      <c r="Q32" s="8"/>
    </row>
    <row r="33" spans="3:17" ht="19.5" customHeight="1">
      <c r="C33" s="20">
        <v>54497</v>
      </c>
      <c r="D33" s="21" t="s">
        <v>91</v>
      </c>
      <c r="E33" s="18">
        <v>20.08</v>
      </c>
      <c r="F33" s="18" t="s">
        <v>32</v>
      </c>
      <c r="G33" s="40">
        <v>0</v>
      </c>
      <c r="H33" s="22" t="s">
        <v>100</v>
      </c>
      <c r="I33" s="42">
        <v>77</v>
      </c>
      <c r="J33" s="75"/>
      <c r="K33" s="110">
        <f>MROUND('Servings to DF Pounds'!$J33,77)</f>
        <v>0</v>
      </c>
      <c r="L33" s="113">
        <f>'Servings to DF Pounds'!$K33/'Servings to DF Pounds'!$I33</f>
        <v>0</v>
      </c>
      <c r="M33" s="118">
        <f>'Servings to DF Pounds'!$L33*'Servings to DF Pounds'!$I33</f>
        <v>0</v>
      </c>
      <c r="N33" s="45">
        <f>'Servings to DF Pounds'!$L33*20.28</f>
        <v>0</v>
      </c>
      <c r="O33" s="76">
        <f>'Servings to DF Pounds'!$L33*21.28</f>
        <v>0</v>
      </c>
      <c r="P33" s="67"/>
      <c r="Q33" s="8"/>
    </row>
    <row r="34" spans="3:17" ht="19.5" customHeight="1">
      <c r="C34" s="133"/>
      <c r="D34" s="134"/>
      <c r="E34" s="134"/>
      <c r="F34" s="134"/>
      <c r="G34" s="134"/>
      <c r="H34" s="135"/>
      <c r="I34" s="136"/>
      <c r="J34" s="136"/>
      <c r="K34" s="136"/>
      <c r="L34" s="160">
        <f>SUM(L14:L27,L29:L33)</f>
        <v>0</v>
      </c>
      <c r="M34" s="151">
        <f>SUM(M13:M33)</f>
        <v>0</v>
      </c>
      <c r="N34" s="139">
        <f>SUM(N14:N27,N29:N33)</f>
        <v>0</v>
      </c>
      <c r="O34" s="140">
        <f>SUM(O14:O27,O29:O33)</f>
        <v>0</v>
      </c>
      <c r="P34" s="141"/>
      <c r="Q34" s="8"/>
    </row>
    <row r="35" spans="3:17" ht="19.5" customHeight="1">
      <c r="C35" s="133"/>
      <c r="D35" s="134"/>
      <c r="E35" s="134"/>
      <c r="F35" s="134"/>
      <c r="G35" s="134"/>
      <c r="H35" s="135"/>
      <c r="I35" s="136"/>
      <c r="J35" s="136"/>
      <c r="K35" s="136"/>
      <c r="L35" s="156"/>
      <c r="M35" s="167"/>
      <c r="N35" s="163"/>
      <c r="O35" s="164"/>
      <c r="P35" s="165"/>
      <c r="Q35" s="8"/>
    </row>
    <row r="36" spans="3:17" s="14" customFormat="1" ht="45" customHeight="1">
      <c r="C36" s="90" t="s">
        <v>74</v>
      </c>
      <c r="D36" s="90"/>
      <c r="E36" s="170"/>
      <c r="F36" s="95" t="s">
        <v>57</v>
      </c>
      <c r="G36" s="92">
        <f>'Dashboard Tables (SERVINGS)'!$I$14:$I$14</f>
        <v>0</v>
      </c>
      <c r="H36" s="6"/>
      <c r="I36" s="6"/>
      <c r="J36" s="95" t="s">
        <v>67</v>
      </c>
      <c r="K36" s="92">
        <f>'Dashboard Tables (SERVINGS)'!$I$21:$I$21</f>
        <v>0</v>
      </c>
      <c r="L36" s="170"/>
      <c r="M36" s="170"/>
      <c r="N36" s="170"/>
      <c r="O36" s="92"/>
      <c r="P36" s="89"/>
      <c r="Q36" s="8"/>
    </row>
    <row r="37" spans="3:17" s="14" customFormat="1" ht="45" customHeight="1">
      <c r="C37" s="90"/>
      <c r="D37" s="90"/>
      <c r="E37" s="170"/>
      <c r="F37" s="95" t="s">
        <v>58</v>
      </c>
      <c r="G37" s="92">
        <f>'Dashboard Tables (SERVINGS)'!$I$17:$I$17</f>
        <v>0</v>
      </c>
      <c r="H37" s="6"/>
      <c r="I37" s="6"/>
      <c r="J37" s="96" t="s">
        <v>68</v>
      </c>
      <c r="K37" s="92">
        <f>'Dashboard Tables (SERVINGS)'!$I$25:$I$25</f>
        <v>0</v>
      </c>
      <c r="L37" s="170"/>
      <c r="M37" s="170"/>
      <c r="N37" s="170"/>
      <c r="O37" s="92"/>
      <c r="P37" s="89"/>
      <c r="Q37" s="8"/>
    </row>
    <row r="38" spans="3:16" ht="42" customHeight="1">
      <c r="C38" s="65" t="s">
        <v>0</v>
      </c>
      <c r="D38" s="66" t="s">
        <v>1</v>
      </c>
      <c r="E38" s="66" t="s">
        <v>23</v>
      </c>
      <c r="F38" s="66" t="s">
        <v>27</v>
      </c>
      <c r="G38" s="66" t="s">
        <v>26</v>
      </c>
      <c r="H38" s="66" t="s">
        <v>2</v>
      </c>
      <c r="I38" s="65" t="s">
        <v>24</v>
      </c>
      <c r="J38" s="65" t="s">
        <v>33</v>
      </c>
      <c r="K38" s="65" t="s">
        <v>37</v>
      </c>
      <c r="L38" s="65" t="s">
        <v>47</v>
      </c>
      <c r="M38" s="65" t="s">
        <v>7</v>
      </c>
      <c r="N38" s="65" t="s">
        <v>25</v>
      </c>
      <c r="O38" s="65" t="s">
        <v>30</v>
      </c>
      <c r="P38" s="65" t="s">
        <v>31</v>
      </c>
    </row>
    <row r="39" spans="3:16" ht="19.5" customHeight="1">
      <c r="C39" s="26">
        <v>81401</v>
      </c>
      <c r="D39" s="27" t="s">
        <v>38</v>
      </c>
      <c r="E39" s="28">
        <v>50.28</v>
      </c>
      <c r="F39" s="36">
        <v>0</v>
      </c>
      <c r="G39" s="28" t="s">
        <v>45</v>
      </c>
      <c r="H39" s="29" t="s">
        <v>41</v>
      </c>
      <c r="I39" s="30">
        <v>232</v>
      </c>
      <c r="J39" s="75"/>
      <c r="K39" s="106">
        <f>MROUND(J39,232)</f>
        <v>0</v>
      </c>
      <c r="L39" s="115">
        <f>K39/I39</f>
        <v>0</v>
      </c>
      <c r="M39" s="116">
        <f>'Servings to DF Pounds'!$L39*232</f>
        <v>0</v>
      </c>
      <c r="N39" s="32">
        <f>'Servings to DF Pounds'!$L39*50.28</f>
        <v>0</v>
      </c>
      <c r="O39" s="37"/>
      <c r="P39" s="37">
        <f>'Servings to DF Pounds'!$L39*53.3</f>
        <v>0</v>
      </c>
    </row>
    <row r="40" spans="3:18" s="8" customFormat="1" ht="19.5" customHeight="1">
      <c r="C40" s="169">
        <v>94403</v>
      </c>
      <c r="D40" s="27" t="s">
        <v>92</v>
      </c>
      <c r="E40" s="101">
        <v>32</v>
      </c>
      <c r="F40" s="36">
        <v>0</v>
      </c>
      <c r="G40" s="105" t="s">
        <v>55</v>
      </c>
      <c r="H40" s="29" t="s">
        <v>103</v>
      </c>
      <c r="I40" s="30">
        <v>76</v>
      </c>
      <c r="J40" s="75"/>
      <c r="K40" s="106">
        <f>MROUND(J40,76)</f>
        <v>0</v>
      </c>
      <c r="L40" s="115">
        <f>K40/I40</f>
        <v>0</v>
      </c>
      <c r="M40" s="116">
        <f>'Servings to DF Pounds'!$L40*76</f>
        <v>0</v>
      </c>
      <c r="N40" s="32">
        <f>'Servings to DF Pounds'!$L40*32</f>
        <v>0</v>
      </c>
      <c r="O40" s="37"/>
      <c r="P40" s="37">
        <f>'Servings to DF Pounds'!$L40*33.92</f>
        <v>0</v>
      </c>
      <c r="R40" s="9"/>
    </row>
    <row r="41" spans="3:17" s="14" customFormat="1" ht="19.5" customHeight="1">
      <c r="C41" s="26">
        <v>91401</v>
      </c>
      <c r="D41" s="27" t="s">
        <v>61</v>
      </c>
      <c r="E41" s="171">
        <v>37.05</v>
      </c>
      <c r="F41" s="36">
        <v>0</v>
      </c>
      <c r="G41" s="28" t="s">
        <v>69</v>
      </c>
      <c r="H41" s="29" t="s">
        <v>63</v>
      </c>
      <c r="I41" s="30">
        <v>123</v>
      </c>
      <c r="J41" s="75"/>
      <c r="K41" s="106">
        <f>MROUND(J41,123)</f>
        <v>0</v>
      </c>
      <c r="L41" s="115">
        <f>K41/I41</f>
        <v>0</v>
      </c>
      <c r="M41" s="116">
        <f>'Servings to DF Pounds'!$L41*123</f>
        <v>0</v>
      </c>
      <c r="N41" s="32">
        <f>'Servings to DF Pounds'!$L41*37.05</f>
        <v>0</v>
      </c>
      <c r="O41" s="37"/>
      <c r="P41" s="37">
        <f>'Servings to DF Pounds'!$L41*39.27</f>
        <v>0</v>
      </c>
      <c r="Q41" s="15"/>
    </row>
    <row r="42" spans="3:17" s="14" customFormat="1" ht="19.5" customHeight="1">
      <c r="C42" s="26">
        <v>91402</v>
      </c>
      <c r="D42" s="27" t="s">
        <v>105</v>
      </c>
      <c r="E42" s="172">
        <v>36.41</v>
      </c>
      <c r="F42" s="36">
        <v>0</v>
      </c>
      <c r="G42" s="105" t="s">
        <v>70</v>
      </c>
      <c r="H42" s="29" t="s">
        <v>63</v>
      </c>
      <c r="I42" s="30">
        <v>123</v>
      </c>
      <c r="J42" s="75"/>
      <c r="K42" s="106">
        <f>MROUND(J42,123)</f>
        <v>0</v>
      </c>
      <c r="L42" s="115">
        <f>K42/I42</f>
        <v>0</v>
      </c>
      <c r="M42" s="116">
        <f>'Servings to DF Pounds'!$L42*123</f>
        <v>0</v>
      </c>
      <c r="N42" s="32">
        <f>'Servings to DF Pounds'!$L42*34.61</f>
        <v>0</v>
      </c>
      <c r="O42" s="37"/>
      <c r="P42" s="37">
        <f>'Servings to DF Pounds'!$L42*38.59</f>
        <v>0</v>
      </c>
      <c r="Q42" s="15"/>
    </row>
    <row r="43" spans="3:16" s="14" customFormat="1" ht="20.25" customHeight="1">
      <c r="C43" s="142"/>
      <c r="D43" s="143"/>
      <c r="E43" s="143"/>
      <c r="F43" s="143"/>
      <c r="G43" s="143"/>
      <c r="H43" s="144"/>
      <c r="I43" s="136"/>
      <c r="J43" s="136"/>
      <c r="K43" s="136"/>
      <c r="L43" s="156">
        <f>SUM(L39:L42)</f>
        <v>0</v>
      </c>
      <c r="M43" s="151">
        <f>SUM(M39:M42)</f>
        <v>0</v>
      </c>
      <c r="N43" s="145">
        <f>SUM(N39:N42)</f>
        <v>0</v>
      </c>
      <c r="O43" s="146"/>
      <c r="P43" s="146">
        <f>SUM(P39:P42)</f>
        <v>0</v>
      </c>
    </row>
    <row r="44" spans="3:16" s="14" customFormat="1" ht="42" customHeight="1">
      <c r="C44" s="142"/>
      <c r="D44" s="143"/>
      <c r="E44" s="143"/>
      <c r="F44" s="143"/>
      <c r="G44" s="143"/>
      <c r="H44" s="144"/>
      <c r="I44" s="136"/>
      <c r="J44" s="136"/>
      <c r="K44" s="136"/>
      <c r="L44" s="156"/>
      <c r="M44" s="167"/>
      <c r="N44" s="168"/>
      <c r="O44" s="166"/>
      <c r="P44" s="166"/>
    </row>
    <row r="45" spans="3:17" s="14" customFormat="1" ht="60" customHeight="1">
      <c r="C45" s="103" t="s">
        <v>79</v>
      </c>
      <c r="D45" s="103"/>
      <c r="E45" s="103"/>
      <c r="F45" s="103"/>
      <c r="G45" s="78"/>
      <c r="H45" s="78"/>
      <c r="I45" s="81"/>
      <c r="J45" s="104"/>
      <c r="K45" s="78"/>
      <c r="L45" s="78"/>
      <c r="M45" s="38"/>
      <c r="N45" s="72"/>
      <c r="O45" s="72"/>
      <c r="P45" s="72"/>
      <c r="Q45" s="15"/>
    </row>
    <row r="46" spans="3:16" ht="42" customHeight="1">
      <c r="C46" s="63" t="s">
        <v>0</v>
      </c>
      <c r="D46" s="64" t="s">
        <v>1</v>
      </c>
      <c r="E46" s="64" t="s">
        <v>23</v>
      </c>
      <c r="F46" s="64" t="s">
        <v>27</v>
      </c>
      <c r="G46" s="64" t="s">
        <v>26</v>
      </c>
      <c r="H46" s="64" t="s">
        <v>2</v>
      </c>
      <c r="I46" s="63" t="s">
        <v>24</v>
      </c>
      <c r="J46" s="63" t="s">
        <v>33</v>
      </c>
      <c r="K46" s="63" t="s">
        <v>37</v>
      </c>
      <c r="L46" s="63" t="s">
        <v>47</v>
      </c>
      <c r="M46" s="63" t="s">
        <v>7</v>
      </c>
      <c r="N46" s="63" t="s">
        <v>25</v>
      </c>
      <c r="O46" s="63" t="s">
        <v>30</v>
      </c>
      <c r="P46" s="63" t="s">
        <v>31</v>
      </c>
    </row>
    <row r="47" spans="3:16" ht="19.5" customHeight="1">
      <c r="C47" s="26">
        <v>54409</v>
      </c>
      <c r="D47" s="27" t="s">
        <v>16</v>
      </c>
      <c r="E47" s="28">
        <v>13.76</v>
      </c>
      <c r="F47" s="28" t="s">
        <v>28</v>
      </c>
      <c r="G47" s="28" t="s">
        <v>29</v>
      </c>
      <c r="H47" s="29" t="s">
        <v>4</v>
      </c>
      <c r="I47" s="30">
        <v>107</v>
      </c>
      <c r="J47" s="75"/>
      <c r="K47" s="115">
        <f>MROUND('Servings to DF Pounds'!$J47,107)</f>
        <v>0</v>
      </c>
      <c r="L47" s="115">
        <f>'Servings to DF Pounds'!$K47/'Servings to DF Pounds'!$I47</f>
        <v>0</v>
      </c>
      <c r="M47" s="116">
        <f>'Servings to DF Pounds'!$L47*107</f>
        <v>0</v>
      </c>
      <c r="N47" s="32">
        <f>'Servings to DF Pounds'!$L47*13.76</f>
        <v>0</v>
      </c>
      <c r="O47" s="117">
        <f>'Servings to DF Pounds'!$L47*10.05</f>
        <v>0</v>
      </c>
      <c r="P47" s="117">
        <f>'Servings to DF Pounds'!$L47*4.54</f>
        <v>0</v>
      </c>
    </row>
    <row r="48" spans="3:16" ht="19.5" customHeight="1">
      <c r="C48" s="26">
        <v>54410</v>
      </c>
      <c r="D48" s="27" t="s">
        <v>17</v>
      </c>
      <c r="E48" s="28">
        <v>13.76</v>
      </c>
      <c r="F48" s="28" t="s">
        <v>28</v>
      </c>
      <c r="G48" s="28" t="s">
        <v>29</v>
      </c>
      <c r="H48" s="29" t="s">
        <v>5</v>
      </c>
      <c r="I48" s="30">
        <v>107</v>
      </c>
      <c r="J48" s="75"/>
      <c r="K48" s="115">
        <f>MROUND('Servings to DF Pounds'!$J48,107)</f>
        <v>0</v>
      </c>
      <c r="L48" s="115">
        <f>'Servings to DF Pounds'!$K48/'Servings to DF Pounds'!$I48</f>
        <v>0</v>
      </c>
      <c r="M48" s="116">
        <f>'Servings to DF Pounds'!$L48*107</f>
        <v>0</v>
      </c>
      <c r="N48" s="32">
        <f>'Servings to DF Pounds'!$L48*13.76</f>
        <v>0</v>
      </c>
      <c r="O48" s="117">
        <f>'Servings to DF Pounds'!$L48*10.05</f>
        <v>0</v>
      </c>
      <c r="P48" s="117">
        <f>'Servings to DF Pounds'!$L48*4.54</f>
        <v>0</v>
      </c>
    </row>
    <row r="49" spans="3:16" s="3" customFormat="1" ht="19.5" customHeight="1">
      <c r="C49" s="26">
        <v>54411</v>
      </c>
      <c r="D49" s="27" t="s">
        <v>18</v>
      </c>
      <c r="E49" s="28">
        <v>13.76</v>
      </c>
      <c r="F49" s="28" t="s">
        <v>28</v>
      </c>
      <c r="G49" s="28" t="s">
        <v>29</v>
      </c>
      <c r="H49" s="29" t="s">
        <v>104</v>
      </c>
      <c r="I49" s="30">
        <v>214</v>
      </c>
      <c r="J49" s="75"/>
      <c r="K49" s="115">
        <f>MROUND('Servings to DF Pounds'!$J49,214)</f>
        <v>0</v>
      </c>
      <c r="L49" s="115">
        <f>'Servings to DF Pounds'!$K49/'Servings to DF Pounds'!$I49</f>
        <v>0</v>
      </c>
      <c r="M49" s="116">
        <f>'Servings to DF Pounds'!$L49*107</f>
        <v>0</v>
      </c>
      <c r="N49" s="32">
        <f>'Servings to DF Pounds'!$L49*13.76</f>
        <v>0</v>
      </c>
      <c r="O49" s="117">
        <f>'Servings to DF Pounds'!$L49*10.05</f>
        <v>0</v>
      </c>
      <c r="P49" s="117">
        <f>'Servings to DF Pounds'!$L49*4.54</f>
        <v>0</v>
      </c>
    </row>
    <row r="50" spans="3:16" s="3" customFormat="1" ht="19.5" customHeight="1">
      <c r="C50" s="26">
        <v>54412</v>
      </c>
      <c r="D50" s="27" t="s">
        <v>19</v>
      </c>
      <c r="E50" s="28">
        <v>13.76</v>
      </c>
      <c r="F50" s="28" t="s">
        <v>28</v>
      </c>
      <c r="G50" s="28" t="s">
        <v>29</v>
      </c>
      <c r="H50" s="29" t="s">
        <v>6</v>
      </c>
      <c r="I50" s="30">
        <v>107</v>
      </c>
      <c r="J50" s="75"/>
      <c r="K50" s="115">
        <f>MROUND('Servings to DF Pounds'!$J50,107)</f>
        <v>0</v>
      </c>
      <c r="L50" s="115">
        <f>'Servings to DF Pounds'!$K50/'Servings to DF Pounds'!$I50</f>
        <v>0</v>
      </c>
      <c r="M50" s="116">
        <f>'Servings to DF Pounds'!$L50*107</f>
        <v>0</v>
      </c>
      <c r="N50" s="32">
        <f>'Servings to DF Pounds'!$L50*13.76</f>
        <v>0</v>
      </c>
      <c r="O50" s="117">
        <f>'Servings to DF Pounds'!$L50*10.05</f>
        <v>0</v>
      </c>
      <c r="P50" s="117">
        <f>'Servings to DF Pounds'!$L50*4.54</f>
        <v>0</v>
      </c>
    </row>
    <row r="51" spans="3:16" s="3" customFormat="1" ht="19.5" customHeight="1">
      <c r="C51" s="26">
        <v>54427</v>
      </c>
      <c r="D51" s="27" t="s">
        <v>75</v>
      </c>
      <c r="E51" s="28">
        <v>13.76</v>
      </c>
      <c r="F51" s="28" t="s">
        <v>28</v>
      </c>
      <c r="G51" s="28" t="s">
        <v>29</v>
      </c>
      <c r="H51" s="29" t="s">
        <v>4</v>
      </c>
      <c r="I51" s="30">
        <v>107</v>
      </c>
      <c r="J51" s="75"/>
      <c r="K51" s="115">
        <f>MROUND('Servings to DF Pounds'!$J51,107)</f>
        <v>0</v>
      </c>
      <c r="L51" s="115">
        <f>'Servings to DF Pounds'!$K51/'Servings to DF Pounds'!$I51</f>
        <v>0</v>
      </c>
      <c r="M51" s="116">
        <f>'Servings to DF Pounds'!$L51*107</f>
        <v>0</v>
      </c>
      <c r="N51" s="32">
        <f>'Servings to DF Pounds'!$L51*13.76</f>
        <v>0</v>
      </c>
      <c r="O51" s="117">
        <f>'Servings to DF Pounds'!$L51*10.05</f>
        <v>0</v>
      </c>
      <c r="P51" s="117">
        <f>'Servings to DF Pounds'!$L51*4.54</f>
        <v>0</v>
      </c>
    </row>
    <row r="52" spans="3:16" s="9" customFormat="1" ht="19.5" customHeight="1">
      <c r="C52" s="26">
        <v>54430</v>
      </c>
      <c r="D52" s="27" t="s">
        <v>76</v>
      </c>
      <c r="E52" s="28">
        <v>13.76</v>
      </c>
      <c r="F52" s="28" t="s">
        <v>28</v>
      </c>
      <c r="G52" s="28" t="s">
        <v>29</v>
      </c>
      <c r="H52" s="29" t="s">
        <v>6</v>
      </c>
      <c r="I52" s="30">
        <v>107</v>
      </c>
      <c r="J52" s="75"/>
      <c r="K52" s="115">
        <f>MROUND('Servings to DF Pounds'!$J52,107)</f>
        <v>0</v>
      </c>
      <c r="L52" s="115">
        <f>'Servings to DF Pounds'!$K52/'Servings to DF Pounds'!$I52</f>
        <v>0</v>
      </c>
      <c r="M52" s="116">
        <f>'Servings to DF Pounds'!$L52*107</f>
        <v>0</v>
      </c>
      <c r="N52" s="32">
        <f>'Servings to DF Pounds'!$L52*13.76</f>
        <v>0</v>
      </c>
      <c r="O52" s="117">
        <f>'Servings to DF Pounds'!$L52*10.05</f>
        <v>0</v>
      </c>
      <c r="P52" s="117">
        <f>'Servings to DF Pounds'!$L52*4.54</f>
        <v>0</v>
      </c>
    </row>
    <row r="53" spans="3:17" s="3" customFormat="1" ht="19.5" customHeight="1">
      <c r="C53" s="26">
        <v>54453</v>
      </c>
      <c r="D53" s="27" t="s">
        <v>42</v>
      </c>
      <c r="E53" s="28">
        <v>13.76</v>
      </c>
      <c r="F53" s="28" t="s">
        <v>28</v>
      </c>
      <c r="G53" s="28" t="s">
        <v>29</v>
      </c>
      <c r="H53" s="29" t="s">
        <v>43</v>
      </c>
      <c r="I53" s="30">
        <v>107</v>
      </c>
      <c r="J53" s="75"/>
      <c r="K53" s="115">
        <f>MROUND('Servings to DF Pounds'!$J53,107)</f>
        <v>0</v>
      </c>
      <c r="L53" s="115">
        <f>'Servings to DF Pounds'!$K53/'Servings to DF Pounds'!$I53</f>
        <v>0</v>
      </c>
      <c r="M53" s="116">
        <f>'Servings to DF Pounds'!$L53*107</f>
        <v>0</v>
      </c>
      <c r="N53" s="32">
        <f>'Servings to DF Pounds'!$L53*13.76</f>
        <v>0</v>
      </c>
      <c r="O53" s="117">
        <f>'Servings to DF Pounds'!$L53*10.05</f>
        <v>0</v>
      </c>
      <c r="P53" s="117">
        <f>'Servings to DF Pounds'!$L53*4.54</f>
        <v>0</v>
      </c>
      <c r="Q53" s="1"/>
    </row>
    <row r="54" spans="3:17" s="3" customFormat="1" ht="19.5" customHeight="1">
      <c r="C54" s="26">
        <v>54463</v>
      </c>
      <c r="D54" s="27" t="s">
        <v>44</v>
      </c>
      <c r="E54" s="28">
        <v>13.76</v>
      </c>
      <c r="F54" s="28" t="s">
        <v>28</v>
      </c>
      <c r="G54" s="28" t="s">
        <v>29</v>
      </c>
      <c r="H54" s="29" t="s">
        <v>6</v>
      </c>
      <c r="I54" s="30">
        <v>107</v>
      </c>
      <c r="J54" s="75"/>
      <c r="K54" s="115">
        <f>MROUND('Servings to DF Pounds'!$J54,107)</f>
        <v>0</v>
      </c>
      <c r="L54" s="115">
        <f>'Servings to DF Pounds'!$K54/'Servings to DF Pounds'!$I54</f>
        <v>0</v>
      </c>
      <c r="M54" s="116">
        <f>'Servings to DF Pounds'!$L54*107</f>
        <v>0</v>
      </c>
      <c r="N54" s="32">
        <f>'Servings to DF Pounds'!$L54*13.76</f>
        <v>0</v>
      </c>
      <c r="O54" s="117">
        <f>'Servings to DF Pounds'!$L54*10.05</f>
        <v>0</v>
      </c>
      <c r="P54" s="117">
        <f>'Servings to DF Pounds'!$L54*4.54</f>
        <v>0</v>
      </c>
      <c r="Q54" s="1"/>
    </row>
    <row r="55" spans="3:17" s="3" customFormat="1" ht="19.5" customHeight="1">
      <c r="C55" s="26">
        <v>54464</v>
      </c>
      <c r="D55" s="27" t="s">
        <v>77</v>
      </c>
      <c r="E55" s="28">
        <v>13.76</v>
      </c>
      <c r="F55" s="28" t="s">
        <v>28</v>
      </c>
      <c r="G55" s="28" t="s">
        <v>29</v>
      </c>
      <c r="H55" s="29" t="s">
        <v>6</v>
      </c>
      <c r="I55" s="30">
        <v>107</v>
      </c>
      <c r="J55" s="75"/>
      <c r="K55" s="115">
        <f>MROUND('Servings to DF Pounds'!$J55,107)</f>
        <v>0</v>
      </c>
      <c r="L55" s="115">
        <f>'Servings to DF Pounds'!$K55/'Servings to DF Pounds'!$I55</f>
        <v>0</v>
      </c>
      <c r="M55" s="116">
        <f>'Servings to DF Pounds'!$L55*107</f>
        <v>0</v>
      </c>
      <c r="N55" s="32">
        <f>'Servings to DF Pounds'!$L55*13.76</f>
        <v>0</v>
      </c>
      <c r="O55" s="117">
        <f>'Servings to DF Pounds'!$L55*10.05</f>
        <v>0</v>
      </c>
      <c r="P55" s="117">
        <f>'Servings to DF Pounds'!$L55*4.54</f>
        <v>0</v>
      </c>
      <c r="Q55" s="1"/>
    </row>
    <row r="56" spans="3:26" s="3" customFormat="1" ht="19.5" customHeight="1">
      <c r="C56" s="142"/>
      <c r="D56" s="143"/>
      <c r="E56" s="143"/>
      <c r="F56" s="143"/>
      <c r="G56" s="143"/>
      <c r="H56" s="144"/>
      <c r="I56" s="136"/>
      <c r="J56" s="136"/>
      <c r="K56" s="152"/>
      <c r="L56" s="153">
        <f>SUM(L47:L55)</f>
        <v>0</v>
      </c>
      <c r="M56" s="154">
        <f>SUM(M47:M55)</f>
        <v>0</v>
      </c>
      <c r="N56" s="149">
        <f>SUBTOTAL(109,N47:N55)</f>
        <v>0</v>
      </c>
      <c r="O56" s="155">
        <f>SUM(O47:O55)</f>
        <v>0</v>
      </c>
      <c r="P56" s="155">
        <f>SUM(P47:P55)</f>
        <v>0</v>
      </c>
      <c r="Y56" s="1"/>
      <c r="Z56" s="1"/>
    </row>
    <row r="57" spans="3:25" s="3" customFormat="1" ht="19.5" customHeight="1">
      <c r="C57" s="1"/>
      <c r="D57" s="1"/>
      <c r="E57" s="1"/>
      <c r="F57" s="1"/>
      <c r="G57" s="1"/>
      <c r="H57" s="1"/>
      <c r="I57" s="2"/>
      <c r="J57" s="1"/>
      <c r="M57" s="1"/>
      <c r="N57" s="1"/>
      <c r="O57" s="1"/>
      <c r="P57" s="1"/>
      <c r="Y57" s="1"/>
    </row>
    <row r="58" spans="3:25" s="3" customFormat="1" ht="19.5" customHeight="1">
      <c r="C58" s="1"/>
      <c r="D58" s="1"/>
      <c r="E58" s="1"/>
      <c r="F58" s="1"/>
      <c r="G58" s="1"/>
      <c r="H58" s="1"/>
      <c r="I58" s="2"/>
      <c r="J58" s="1"/>
      <c r="M58" s="1"/>
      <c r="N58" s="1"/>
      <c r="O58" s="1"/>
      <c r="P58" s="1"/>
      <c r="Y58" s="1"/>
    </row>
    <row r="59" spans="3:25" s="3" customFormat="1" ht="60" customHeight="1">
      <c r="C59" s="179" t="s">
        <v>79</v>
      </c>
      <c r="D59" s="179"/>
      <c r="E59" s="179"/>
      <c r="F59" s="179"/>
      <c r="G59" s="180"/>
      <c r="H59" s="180"/>
      <c r="I59" s="181"/>
      <c r="J59" s="192"/>
      <c r="K59" s="180"/>
      <c r="L59" s="180"/>
      <c r="M59" s="182"/>
      <c r="N59" s="184"/>
      <c r="O59" s="184"/>
      <c r="P59" s="184"/>
      <c r="Y59" s="1"/>
    </row>
    <row r="60" spans="3:25" s="3" customFormat="1" ht="54.75" customHeight="1">
      <c r="C60" s="185" t="s">
        <v>0</v>
      </c>
      <c r="D60" s="186" t="s">
        <v>1</v>
      </c>
      <c r="E60" s="186" t="s">
        <v>23</v>
      </c>
      <c r="F60" s="186" t="s">
        <v>27</v>
      </c>
      <c r="G60" s="186" t="s">
        <v>26</v>
      </c>
      <c r="H60" s="186" t="s">
        <v>2</v>
      </c>
      <c r="I60" s="185" t="s">
        <v>24</v>
      </c>
      <c r="J60" s="185" t="s">
        <v>33</v>
      </c>
      <c r="K60" s="185" t="s">
        <v>37</v>
      </c>
      <c r="L60" s="185" t="s">
        <v>47</v>
      </c>
      <c r="M60" s="185" t="s">
        <v>7</v>
      </c>
      <c r="N60" s="185" t="s">
        <v>25</v>
      </c>
      <c r="O60" s="185" t="s">
        <v>30</v>
      </c>
      <c r="P60" s="185" t="s">
        <v>31</v>
      </c>
      <c r="Y60" s="1"/>
    </row>
    <row r="61" spans="3:25" s="3" customFormat="1" ht="19.5" customHeight="1">
      <c r="C61" s="26">
        <v>54402</v>
      </c>
      <c r="D61" s="27" t="s">
        <v>109</v>
      </c>
      <c r="E61" s="28">
        <v>6.94</v>
      </c>
      <c r="F61" s="28" t="s">
        <v>115</v>
      </c>
      <c r="G61" s="28" t="s">
        <v>116</v>
      </c>
      <c r="H61" s="29" t="s">
        <v>112</v>
      </c>
      <c r="I61" s="30">
        <v>54</v>
      </c>
      <c r="J61" s="75"/>
      <c r="K61" s="115">
        <f>MROUND('Servings to DF Pounds'!$J61,54)</f>
        <v>0</v>
      </c>
      <c r="L61" s="115">
        <f>'Servings to DF Pounds'!$K61/'Servings to DF Pounds'!$I61</f>
        <v>0</v>
      </c>
      <c r="M61" s="116">
        <f>'Servings to DF Pounds'!$L61*54</f>
        <v>0</v>
      </c>
      <c r="N61" s="32">
        <f>'Servings to DF Pounds'!$L61*6.94</f>
        <v>0</v>
      </c>
      <c r="O61" s="117">
        <f>'Servings to DF Pounds'!$L61*5.07</f>
        <v>0</v>
      </c>
      <c r="P61" s="117">
        <f>'Servings to DF Pounds'!$L61*2.29</f>
        <v>0</v>
      </c>
      <c r="Y61" s="1"/>
    </row>
    <row r="62" spans="3:25" s="3" customFormat="1" ht="19.5" customHeight="1">
      <c r="C62" s="26">
        <v>54406</v>
      </c>
      <c r="D62" s="27" t="s">
        <v>106</v>
      </c>
      <c r="E62" s="28">
        <v>6.94</v>
      </c>
      <c r="F62" s="28" t="s">
        <v>115</v>
      </c>
      <c r="G62" s="28" t="s">
        <v>116</v>
      </c>
      <c r="H62" s="29" t="s">
        <v>101</v>
      </c>
      <c r="I62" s="30">
        <v>54</v>
      </c>
      <c r="J62" s="75"/>
      <c r="K62" s="115">
        <f>MROUND('Servings to DF Pounds'!$J62,54)</f>
        <v>0</v>
      </c>
      <c r="L62" s="115">
        <f>'Servings to DF Pounds'!$K62/'Servings to DF Pounds'!$I62</f>
        <v>0</v>
      </c>
      <c r="M62" s="116">
        <f>'Servings to DF Pounds'!$L62*54</f>
        <v>0</v>
      </c>
      <c r="N62" s="32">
        <f>'Servings to DF Pounds'!$L62*6.94</f>
        <v>0</v>
      </c>
      <c r="O62" s="117">
        <f>'Servings to DF Pounds'!$L62*5.07</f>
        <v>0</v>
      </c>
      <c r="P62" s="117">
        <f>'Servings to DF Pounds'!$L62*2.29</f>
        <v>0</v>
      </c>
      <c r="Y62" s="1"/>
    </row>
    <row r="63" spans="3:25" s="3" customFormat="1" ht="19.5" customHeight="1">
      <c r="C63" s="26">
        <v>54404</v>
      </c>
      <c r="D63" s="27" t="s">
        <v>107</v>
      </c>
      <c r="E63" s="28">
        <v>10.29</v>
      </c>
      <c r="F63" s="28" t="s">
        <v>119</v>
      </c>
      <c r="G63" s="28" t="s">
        <v>120</v>
      </c>
      <c r="H63" s="29" t="s">
        <v>113</v>
      </c>
      <c r="I63" s="30">
        <v>80</v>
      </c>
      <c r="J63" s="75"/>
      <c r="K63" s="115">
        <f>MROUND('Servings to DF Pounds'!$J63,80)</f>
        <v>0</v>
      </c>
      <c r="L63" s="115">
        <f>'Servings to DF Pounds'!$K63/'Servings to DF Pounds'!$I63</f>
        <v>0</v>
      </c>
      <c r="M63" s="116">
        <f>'Servings to DF Pounds'!$L63*80</f>
        <v>0</v>
      </c>
      <c r="N63" s="32">
        <f>'Servings to DF Pounds'!$L63*10.29</f>
        <v>0</v>
      </c>
      <c r="O63" s="117">
        <f>'Servings to DF Pounds'!$L63*7.51</f>
        <v>0</v>
      </c>
      <c r="P63" s="117">
        <f>'Servings to DF Pounds'!$L63*3.4</f>
        <v>0</v>
      </c>
      <c r="Y63" s="1"/>
    </row>
    <row r="64" spans="3:25" s="3" customFormat="1" ht="19.5" customHeight="1">
      <c r="C64" s="26">
        <v>54403</v>
      </c>
      <c r="D64" s="27" t="s">
        <v>110</v>
      </c>
      <c r="E64" s="28">
        <v>5.79</v>
      </c>
      <c r="F64" s="28" t="s">
        <v>117</v>
      </c>
      <c r="G64" s="28" t="s">
        <v>118</v>
      </c>
      <c r="H64" s="29" t="s">
        <v>101</v>
      </c>
      <c r="I64" s="30">
        <v>45</v>
      </c>
      <c r="J64" s="75"/>
      <c r="K64" s="115">
        <f>MROUND('Servings to DF Pounds'!$J64,45)</f>
        <v>0</v>
      </c>
      <c r="L64" s="115">
        <f>'Servings to DF Pounds'!$K64/'Servings to DF Pounds'!$I64</f>
        <v>0</v>
      </c>
      <c r="M64" s="116">
        <f>'Servings to DF Pounds'!$L64*45</f>
        <v>0</v>
      </c>
      <c r="N64" s="32">
        <f>'Servings to DF Pounds'!$L64*5.79</f>
        <v>0</v>
      </c>
      <c r="O64" s="117">
        <f>'Servings to DF Pounds'!$L64*4.23</f>
        <v>0</v>
      </c>
      <c r="P64" s="117">
        <f>'Servings to DF Pounds'!$L64*1.91</f>
        <v>0</v>
      </c>
      <c r="Y64" s="1"/>
    </row>
    <row r="65" spans="3:25" s="3" customFormat="1" ht="19.5" customHeight="1">
      <c r="C65" s="26">
        <v>54408</v>
      </c>
      <c r="D65" s="27" t="s">
        <v>111</v>
      </c>
      <c r="E65" s="28">
        <v>5.79</v>
      </c>
      <c r="F65" s="28" t="s">
        <v>117</v>
      </c>
      <c r="G65" s="28" t="s">
        <v>118</v>
      </c>
      <c r="H65" s="29" t="s">
        <v>114</v>
      </c>
      <c r="I65" s="30">
        <v>45</v>
      </c>
      <c r="J65" s="75"/>
      <c r="K65" s="115">
        <f>MROUND('Servings to DF Pounds'!$J65,45)</f>
        <v>0</v>
      </c>
      <c r="L65" s="115">
        <f>'Servings to DF Pounds'!$K65/'Servings to DF Pounds'!$I65</f>
        <v>0</v>
      </c>
      <c r="M65" s="116">
        <f>'Servings to DF Pounds'!$L65*45</f>
        <v>0</v>
      </c>
      <c r="N65" s="32">
        <f>'Servings to DF Pounds'!$L65*5.79</f>
        <v>0</v>
      </c>
      <c r="O65" s="117">
        <f>'Servings to DF Pounds'!$L65*4.23</f>
        <v>0</v>
      </c>
      <c r="P65" s="117">
        <f>'Servings to DF Pounds'!$L65*1.91</f>
        <v>0</v>
      </c>
      <c r="Y65" s="1"/>
    </row>
    <row r="66" spans="3:16" s="3" customFormat="1" ht="30" customHeight="1">
      <c r="C66" s="142"/>
      <c r="D66" s="143"/>
      <c r="E66" s="143"/>
      <c r="F66" s="143"/>
      <c r="G66" s="143"/>
      <c r="H66" s="144"/>
      <c r="I66" s="136"/>
      <c r="J66" s="136"/>
      <c r="K66" s="152"/>
      <c r="L66" s="153">
        <f>SUM(L61:L65)</f>
        <v>0</v>
      </c>
      <c r="M66" s="154">
        <f>SUM(M61:M65)</f>
        <v>0</v>
      </c>
      <c r="N66" s="149">
        <f>SUBTOTAL(109,N61:N65)</f>
        <v>0</v>
      </c>
      <c r="O66" s="155">
        <f>SUM(O61:O65)</f>
        <v>0</v>
      </c>
      <c r="P66" s="155">
        <f>SUM(P61:P65)</f>
        <v>0</v>
      </c>
    </row>
    <row r="67" s="3" customFormat="1" ht="30" customHeight="1"/>
    <row r="68" s="3" customFormat="1" ht="30" customHeight="1">
      <c r="S68" s="77"/>
    </row>
    <row r="69" s="3" customFormat="1" ht="30" customHeight="1"/>
    <row r="70" s="3" customFormat="1" ht="30" customHeight="1"/>
    <row r="71" s="3" customFormat="1" ht="30" customHeight="1">
      <c r="S71" s="1"/>
    </row>
    <row r="72" s="3" customFormat="1" ht="30" customHeight="1"/>
    <row r="73" s="3" customFormat="1" ht="15" customHeight="1"/>
    <row r="74" s="3" customFormat="1" ht="48.75" customHeight="1"/>
    <row r="75" s="3" customFormat="1" ht="48.75" customHeight="1"/>
    <row r="76" s="3" customFormat="1" ht="15" customHeight="1"/>
    <row r="77" s="3" customFormat="1" ht="15" customHeight="1">
      <c r="S77" s="1"/>
    </row>
    <row r="78" spans="3:16" ht="15" customHeight="1">
      <c r="C78" s="3"/>
      <c r="D78" s="3"/>
      <c r="E78" s="3"/>
      <c r="F78" s="3"/>
      <c r="G78" s="3"/>
      <c r="H78" s="3"/>
      <c r="I78" s="3"/>
      <c r="J78" s="3"/>
      <c r="N78" s="3"/>
      <c r="O78" s="3"/>
      <c r="P78" s="3"/>
    </row>
    <row r="79" s="3" customFormat="1" ht="15" customHeight="1"/>
    <row r="80" s="3" customFormat="1" ht="15" customHeight="1"/>
    <row r="81" s="3" customFormat="1" ht="15" customHeight="1"/>
    <row r="82" spans="3:16" s="3" customFormat="1" ht="15" customHeight="1">
      <c r="C82" s="1"/>
      <c r="D82" s="1"/>
      <c r="E82" s="1"/>
      <c r="F82" s="1"/>
      <c r="G82" s="1"/>
      <c r="H82" s="1"/>
      <c r="I82" s="2"/>
      <c r="J82" s="1"/>
      <c r="N82" s="1"/>
      <c r="O82" s="1"/>
      <c r="P82" s="1"/>
    </row>
    <row r="83" s="3" customFormat="1" ht="15" customHeight="1"/>
    <row r="84" s="3" customFormat="1" ht="15" customHeight="1"/>
    <row r="85" s="3" customFormat="1" ht="15" customHeight="1">
      <c r="Q85" s="1"/>
    </row>
    <row r="86" s="3" customFormat="1" ht="15" customHeight="1"/>
    <row r="87" s="3" customFormat="1" ht="15" customHeight="1"/>
    <row r="88" spans="3:4" s="3" customFormat="1" ht="15" customHeight="1">
      <c r="C88" s="1"/>
      <c r="D88" s="1"/>
    </row>
    <row r="89" spans="3:16" s="3" customFormat="1" ht="15" customHeight="1">
      <c r="C89" s="1"/>
      <c r="D89" s="1"/>
      <c r="E89" s="1"/>
      <c r="F89" s="1"/>
      <c r="G89" s="1"/>
      <c r="H89" s="1"/>
      <c r="I89" s="2"/>
      <c r="J89" s="1"/>
      <c r="N89" s="1"/>
      <c r="O89" s="1"/>
      <c r="P89" s="1"/>
    </row>
    <row r="90" s="3" customFormat="1" ht="15" customHeight="1"/>
    <row r="91" s="3" customFormat="1" ht="15.75" customHeight="1"/>
    <row r="92" s="3" customFormat="1" ht="15" customHeight="1"/>
    <row r="93" s="3" customFormat="1" ht="15" customHeight="1"/>
    <row r="94" s="3" customFormat="1" ht="15" customHeight="1"/>
    <row r="95" spans="3:17" ht="15" customHeight="1">
      <c r="C95" s="3"/>
      <c r="D95" s="3"/>
      <c r="E95" s="3"/>
      <c r="F95" s="3"/>
      <c r="G95" s="3"/>
      <c r="H95" s="3"/>
      <c r="I95" s="3"/>
      <c r="J95" s="3"/>
      <c r="N95" s="3"/>
      <c r="O95" s="3"/>
      <c r="P95" s="3"/>
      <c r="Q95" s="3"/>
    </row>
    <row r="96" spans="3:17" ht="15" customHeight="1">
      <c r="C96" s="3"/>
      <c r="D96" s="3"/>
      <c r="E96" s="3"/>
      <c r="F96" s="3"/>
      <c r="G96" s="3"/>
      <c r="H96" s="3"/>
      <c r="I96" s="3"/>
      <c r="J96" s="3"/>
      <c r="N96" s="3"/>
      <c r="O96" s="3"/>
      <c r="P96" s="3"/>
      <c r="Q96" s="3"/>
    </row>
    <row r="97" spans="3:17" ht="15" customHeight="1">
      <c r="C97" s="3"/>
      <c r="D97" s="3"/>
      <c r="E97" s="3"/>
      <c r="F97" s="3"/>
      <c r="G97" s="3"/>
      <c r="H97" s="3"/>
      <c r="I97" s="3"/>
      <c r="J97" s="3"/>
      <c r="N97" s="3"/>
      <c r="O97" s="3"/>
      <c r="P97" s="3"/>
      <c r="Q97" s="3"/>
    </row>
    <row r="98" spans="3:17" ht="15" customHeight="1">
      <c r="C98" s="3"/>
      <c r="D98" s="3"/>
      <c r="E98" s="3"/>
      <c r="F98" s="3"/>
      <c r="G98" s="3"/>
      <c r="H98" s="3"/>
      <c r="I98" s="3"/>
      <c r="J98" s="3"/>
      <c r="N98" s="3"/>
      <c r="O98" s="3"/>
      <c r="P98" s="3"/>
      <c r="Q98" s="3"/>
    </row>
    <row r="99" spans="3:17" ht="15" customHeight="1">
      <c r="C99" s="3"/>
      <c r="D99" s="3"/>
      <c r="E99" s="3"/>
      <c r="F99" s="3"/>
      <c r="G99" s="3"/>
      <c r="H99" s="3"/>
      <c r="I99" s="3"/>
      <c r="J99" s="3"/>
      <c r="N99" s="3"/>
      <c r="O99" s="3"/>
      <c r="P99" s="3"/>
      <c r="Q99" s="3"/>
    </row>
    <row r="100" spans="3:17" ht="15" customHeight="1">
      <c r="C100" s="3"/>
      <c r="D100" s="3"/>
      <c r="E100" s="3"/>
      <c r="F100" s="3"/>
      <c r="G100" s="3"/>
      <c r="H100" s="3"/>
      <c r="I100" s="3"/>
      <c r="J100" s="3"/>
      <c r="N100" s="3"/>
      <c r="O100" s="3"/>
      <c r="P100" s="3"/>
      <c r="Q100" s="3"/>
    </row>
    <row r="101" spans="3:17" ht="15" customHeight="1">
      <c r="C101" s="3"/>
      <c r="D101" s="3"/>
      <c r="E101" s="3"/>
      <c r="F101" s="3"/>
      <c r="G101" s="3"/>
      <c r="H101" s="3"/>
      <c r="I101" s="3"/>
      <c r="J101" s="3"/>
      <c r="N101" s="3"/>
      <c r="O101" s="3"/>
      <c r="P101" s="3"/>
      <c r="Q101" s="3"/>
    </row>
    <row r="102" spans="3:16" ht="15" customHeight="1">
      <c r="C102" s="3"/>
      <c r="D102" s="5"/>
      <c r="E102" s="3"/>
      <c r="F102" s="3"/>
      <c r="G102" s="3"/>
      <c r="H102" s="3"/>
      <c r="I102" s="3"/>
      <c r="J102" s="3"/>
      <c r="N102" s="3"/>
      <c r="O102" s="3"/>
      <c r="P102" s="3"/>
    </row>
    <row r="103" spans="3:16" ht="15" customHeight="1">
      <c r="C103" s="3"/>
      <c r="D103" s="3"/>
      <c r="E103" s="3"/>
      <c r="F103" s="3"/>
      <c r="G103" s="3"/>
      <c r="H103" s="3"/>
      <c r="I103" s="3"/>
      <c r="J103" s="3"/>
      <c r="N103" s="3"/>
      <c r="O103" s="3"/>
      <c r="P103" s="3"/>
    </row>
    <row r="104" spans="3:16" ht="15" customHeight="1">
      <c r="C104" s="3"/>
      <c r="D104" s="3"/>
      <c r="E104" s="3"/>
      <c r="F104" s="3"/>
      <c r="G104" s="3"/>
      <c r="H104" s="3"/>
      <c r="I104" s="3"/>
      <c r="J104" s="3"/>
      <c r="N104" s="3"/>
      <c r="O104" s="3"/>
      <c r="P104" s="3"/>
    </row>
    <row r="105" spans="3:16" ht="15" customHeight="1">
      <c r="C105" s="7"/>
      <c r="D105" s="5"/>
      <c r="E105" s="3"/>
      <c r="F105" s="3"/>
      <c r="G105" s="3"/>
      <c r="H105" s="3"/>
      <c r="I105" s="3"/>
      <c r="J105" s="3"/>
      <c r="N105" s="3"/>
      <c r="O105" s="3"/>
      <c r="P105" s="3"/>
    </row>
    <row r="106" ht="15" customHeight="1"/>
    <row r="107" ht="15" customHeight="1"/>
    <row r="108" ht="15" customHeight="1"/>
    <row r="109" ht="15" customHeight="1"/>
    <row r="110" spans="12:13" ht="15" customHeight="1">
      <c r="L110" s="1"/>
      <c r="M110" s="1"/>
    </row>
    <row r="111" spans="12:13" ht="15" customHeight="1">
      <c r="L111" s="1"/>
      <c r="M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spans="9:13" ht="15" customHeight="1">
      <c r="I120" s="1"/>
      <c r="K120" s="1"/>
      <c r="L120" s="1"/>
      <c r="M120" s="1"/>
    </row>
    <row r="121" spans="9:13" ht="15" customHeight="1">
      <c r="I121" s="1"/>
      <c r="K121" s="1"/>
      <c r="L121" s="1"/>
      <c r="M121" s="1"/>
    </row>
    <row r="122" spans="9:13" ht="15" customHeight="1">
      <c r="I122" s="1"/>
      <c r="K122" s="1"/>
      <c r="L122" s="1"/>
      <c r="M122" s="1"/>
    </row>
    <row r="123" spans="9:13" ht="15" customHeight="1">
      <c r="I123" s="1"/>
      <c r="K123" s="1"/>
      <c r="L123" s="1"/>
      <c r="M123" s="1"/>
    </row>
    <row r="124" spans="9:13" ht="15" customHeight="1">
      <c r="I124" s="1"/>
      <c r="K124" s="1"/>
      <c r="L124" s="1"/>
      <c r="M124" s="1"/>
    </row>
    <row r="125" spans="9:13" ht="15" customHeight="1">
      <c r="I125" s="1"/>
      <c r="K125" s="1"/>
      <c r="L125" s="1"/>
      <c r="M125" s="1"/>
    </row>
    <row r="126" spans="9:13" ht="15" customHeight="1">
      <c r="I126" s="1"/>
      <c r="K126" s="1"/>
      <c r="L126" s="1"/>
      <c r="M126" s="1"/>
    </row>
    <row r="127" spans="9:13" ht="15" customHeight="1">
      <c r="I127" s="1"/>
      <c r="K127" s="1"/>
      <c r="L127" s="1"/>
      <c r="M127" s="1"/>
    </row>
    <row r="128" spans="9:13" ht="15" customHeight="1">
      <c r="I128" s="1"/>
      <c r="K128" s="1"/>
      <c r="L128" s="1"/>
      <c r="M128" s="1"/>
    </row>
    <row r="129" spans="9:13" ht="15" customHeight="1">
      <c r="I129" s="1"/>
      <c r="K129" s="1"/>
      <c r="L129" s="1"/>
      <c r="M129" s="1"/>
    </row>
    <row r="130" spans="9:13" ht="15" customHeight="1">
      <c r="I130" s="1"/>
      <c r="K130" s="1"/>
      <c r="L130" s="1"/>
      <c r="M130" s="1"/>
    </row>
    <row r="131" spans="9:13" ht="15" customHeight="1">
      <c r="I131" s="1"/>
      <c r="K131" s="1"/>
      <c r="L131" s="1"/>
      <c r="M131" s="1"/>
    </row>
    <row r="132" spans="9:13" ht="15" customHeight="1">
      <c r="I132" s="1"/>
      <c r="K132" s="1"/>
      <c r="L132" s="1"/>
      <c r="M132" s="1"/>
    </row>
    <row r="133" spans="9:13" ht="15" customHeight="1">
      <c r="I133" s="1"/>
      <c r="K133" s="1"/>
      <c r="L133" s="1"/>
      <c r="M133" s="1"/>
    </row>
    <row r="134" spans="9:13" ht="15" customHeight="1">
      <c r="I134" s="1"/>
      <c r="K134" s="1"/>
      <c r="L134" s="1"/>
      <c r="M134" s="1"/>
    </row>
    <row r="135" spans="9:13" ht="15" customHeight="1">
      <c r="I135" s="1"/>
      <c r="K135" s="1"/>
      <c r="L135" s="1"/>
      <c r="M135" s="1"/>
    </row>
    <row r="136" spans="9:13" ht="15" customHeight="1">
      <c r="I136" s="1"/>
      <c r="K136" s="1"/>
      <c r="L136" s="1"/>
      <c r="M136" s="1"/>
    </row>
    <row r="137" spans="9:13" ht="15" customHeight="1">
      <c r="I137" s="1"/>
      <c r="K137" s="1"/>
      <c r="L137" s="1"/>
      <c r="M137" s="1"/>
    </row>
    <row r="138" spans="9:13" ht="15" customHeight="1">
      <c r="I138" s="1"/>
      <c r="K138" s="1"/>
      <c r="L138" s="1"/>
      <c r="M138" s="1"/>
    </row>
    <row r="139" spans="9:13" ht="15" customHeight="1">
      <c r="I139" s="1"/>
      <c r="K139" s="1"/>
      <c r="L139" s="1"/>
      <c r="M139" s="1"/>
    </row>
    <row r="140" spans="9:13" ht="15" customHeight="1">
      <c r="I140" s="1"/>
      <c r="K140" s="1"/>
      <c r="L140" s="1"/>
      <c r="M140" s="1"/>
    </row>
    <row r="141" spans="9:13" ht="15" customHeight="1">
      <c r="I141" s="1"/>
      <c r="K141" s="1"/>
      <c r="L141" s="1"/>
      <c r="M141" s="1"/>
    </row>
    <row r="142" spans="9:13" ht="15" customHeight="1">
      <c r="I142" s="1"/>
      <c r="K142" s="1"/>
      <c r="L142" s="1"/>
      <c r="M142" s="1"/>
    </row>
    <row r="143" spans="9:13" ht="15" customHeight="1">
      <c r="I143" s="1"/>
      <c r="K143" s="1"/>
      <c r="L143" s="1"/>
      <c r="M143" s="1"/>
    </row>
    <row r="144" spans="9:13" ht="15" customHeight="1">
      <c r="I144" s="1"/>
      <c r="K144" s="1"/>
      <c r="L144" s="1"/>
      <c r="M144" s="1"/>
    </row>
    <row r="145" spans="9:13" ht="15" customHeight="1">
      <c r="I145" s="1"/>
      <c r="K145" s="1"/>
      <c r="L145" s="1"/>
      <c r="M145" s="1"/>
    </row>
    <row r="146" ht="15" customHeight="1"/>
    <row r="147" ht="15" customHeight="1"/>
  </sheetData>
  <sheetProtection sheet="1" objects="1" scenarios="1" selectLockedCells="1"/>
  <mergeCells count="1">
    <mergeCell ref="C11:F11"/>
  </mergeCells>
  <printOptions horizontalCentered="1"/>
  <pageMargins left="0" right="0" top="0" bottom="0" header="0" footer="0"/>
  <pageSetup fitToHeight="0" fitToWidth="1" orientation="landscape" scale="37" r:id="rId3"/>
  <colBreaks count="1" manualBreakCount="1">
    <brk id="8" max="65535" man="1"/>
  </colBreaks>
  <ignoredErrors>
    <ignoredError sqref="K29:K31 K27 K16:K20 K23:K25 K39:L42 M28:N33 M14:N14 K14:K15 K21:K22 M17:M24 M25:M27 M15:M16 N15:N27 K32:K33 K49 K61:K65 M61:M65 N61:N65 O61:O65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9"/>
  <sheetViews>
    <sheetView showGridLines="0" tabSelected="1" zoomScale="70" zoomScaleNormal="70" zoomScaleSheetLayoutView="40" zoomScalePageLayoutView="70" workbookViewId="0" topLeftCell="B1">
      <selection activeCell="J14" sqref="J14"/>
    </sheetView>
  </sheetViews>
  <sheetFormatPr defaultColWidth="9.140625" defaultRowHeight="15"/>
  <cols>
    <col min="1" max="1" width="0" style="1" hidden="1" customWidth="1"/>
    <col min="2" max="2" width="9.140625" style="1" customWidth="1"/>
    <col min="3" max="3" width="13.57421875" style="1" customWidth="1"/>
    <col min="4" max="4" width="73.140625" style="1" customWidth="1"/>
    <col min="5" max="8" width="22.7109375" style="1" customWidth="1"/>
    <col min="9" max="9" width="22.7109375" style="2" customWidth="1"/>
    <col min="10" max="10" width="20.00390625" style="1" customWidth="1"/>
    <col min="11" max="13" width="22.7109375" style="3" customWidth="1"/>
    <col min="14" max="14" width="22.7109375" style="1" customWidth="1"/>
    <col min="15" max="17" width="17.7109375" style="1" customWidth="1"/>
    <col min="18" max="18" width="16.421875" style="1" bestFit="1" customWidth="1"/>
    <col min="19" max="19" width="14.421875" style="1" customWidth="1"/>
    <col min="20" max="20" width="20.00390625" style="1" customWidth="1"/>
    <col min="21" max="22" width="21.7109375" style="1" customWidth="1"/>
    <col min="23" max="23" width="25.7109375" style="1" bestFit="1" customWidth="1"/>
    <col min="24" max="25" width="21.7109375" style="1" customWidth="1"/>
    <col min="26" max="28" width="9.140625" style="1" customWidth="1"/>
    <col min="29" max="29" width="21.421875" style="1" customWidth="1"/>
    <col min="30" max="33" width="9.140625" style="1" customWidth="1"/>
    <col min="34" max="16384" width="9.140625" style="1" customWidth="1"/>
  </cols>
  <sheetData>
    <row r="1" ht="22.5" customHeight="1">
      <c r="C1" s="13"/>
    </row>
    <row r="2" ht="22.5" customHeight="1"/>
    <row r="3" spans="5:16" ht="22.5" customHeight="1">
      <c r="E3" s="12"/>
      <c r="F3" s="10"/>
      <c r="P3" s="3"/>
    </row>
    <row r="4" ht="22.5" customHeight="1">
      <c r="P4" s="3"/>
    </row>
    <row r="5" ht="22.5" customHeight="1">
      <c r="P5" s="3"/>
    </row>
    <row r="6" spans="6:10" ht="22.5" customHeight="1">
      <c r="F6" s="3"/>
      <c r="G6" s="3"/>
      <c r="H6" s="3"/>
      <c r="I6" s="3"/>
      <c r="J6" s="3"/>
    </row>
    <row r="7" spans="4:10" ht="22.5" customHeight="1">
      <c r="D7" s="13"/>
      <c r="E7" s="13"/>
      <c r="F7" s="3"/>
      <c r="G7" s="3"/>
      <c r="H7" s="3"/>
      <c r="I7" s="3"/>
      <c r="J7" s="3"/>
    </row>
    <row r="8" spans="3:16" ht="22.5" customHeight="1">
      <c r="C8" s="194"/>
      <c r="D8" s="194"/>
      <c r="F8" s="3"/>
      <c r="G8" s="3"/>
      <c r="H8" s="3"/>
      <c r="I8" s="3"/>
      <c r="J8" s="3"/>
      <c r="P8" s="3"/>
    </row>
    <row r="9" spans="17:22" ht="22.5" customHeight="1">
      <c r="Q9" s="3"/>
      <c r="R9" s="3"/>
      <c r="S9" s="3"/>
      <c r="T9" s="3"/>
      <c r="U9" s="3"/>
      <c r="V9" s="3"/>
    </row>
    <row r="10" spans="5:17" ht="22.5" customHeight="1">
      <c r="E10" s="33"/>
      <c r="F10" s="4"/>
      <c r="Q10" s="3"/>
    </row>
    <row r="11" spans="3:17" ht="49.5" customHeight="1">
      <c r="C11" s="195" t="s">
        <v>9</v>
      </c>
      <c r="D11" s="195"/>
      <c r="E11" s="195"/>
      <c r="F11" s="195"/>
      <c r="G11" s="79"/>
      <c r="H11" s="79"/>
      <c r="I11" s="80"/>
      <c r="J11" s="34"/>
      <c r="K11" s="79"/>
      <c r="L11" s="79"/>
      <c r="M11" s="79"/>
      <c r="N11" s="35"/>
      <c r="Q11" s="3"/>
    </row>
    <row r="12" spans="3:15" s="8" customFormat="1" ht="60.75" customHeight="1">
      <c r="C12" s="68" t="s">
        <v>0</v>
      </c>
      <c r="D12" s="69" t="s">
        <v>1</v>
      </c>
      <c r="E12" s="69" t="s">
        <v>23</v>
      </c>
      <c r="F12" s="69" t="s">
        <v>27</v>
      </c>
      <c r="G12" s="69" t="s">
        <v>26</v>
      </c>
      <c r="H12" s="69" t="s">
        <v>2</v>
      </c>
      <c r="I12" s="68" t="s">
        <v>24</v>
      </c>
      <c r="J12" s="68" t="s">
        <v>47</v>
      </c>
      <c r="K12" s="68" t="s">
        <v>7</v>
      </c>
      <c r="L12" s="68" t="s">
        <v>25</v>
      </c>
      <c r="M12" s="68" t="s">
        <v>30</v>
      </c>
      <c r="N12" s="68" t="s">
        <v>31</v>
      </c>
      <c r="O12" s="9"/>
    </row>
    <row r="13" spans="3:15" s="14" customFormat="1" ht="19.5" customHeight="1">
      <c r="C13" s="46" t="s">
        <v>8</v>
      </c>
      <c r="D13" s="47"/>
      <c r="E13" s="47"/>
      <c r="F13" s="47"/>
      <c r="G13" s="47"/>
      <c r="H13" s="48"/>
      <c r="I13" s="49"/>
      <c r="J13" s="50"/>
      <c r="K13" s="51"/>
      <c r="L13" s="52">
        <f>'Cases to DF Pounds'!$J13*19.88</f>
        <v>0</v>
      </c>
      <c r="M13" s="52"/>
      <c r="N13" s="53"/>
      <c r="O13" s="15"/>
    </row>
    <row r="14" spans="3:24" s="14" customFormat="1" ht="19.5" customHeight="1">
      <c r="C14" s="16">
        <v>13408</v>
      </c>
      <c r="D14" s="17" t="s">
        <v>12</v>
      </c>
      <c r="E14" s="18">
        <v>20.08</v>
      </c>
      <c r="F14" s="18" t="s">
        <v>32</v>
      </c>
      <c r="G14" s="39">
        <v>0</v>
      </c>
      <c r="H14" s="19" t="s">
        <v>20</v>
      </c>
      <c r="I14" s="43">
        <v>78</v>
      </c>
      <c r="J14" s="84"/>
      <c r="K14" s="44">
        <f>'Cases to DF Pounds'!$J14*'Cases to DF Pounds'!$I14</f>
        <v>0</v>
      </c>
      <c r="L14" s="45">
        <f>'Cases to DF Pounds'!$J14*20.08</f>
        <v>0</v>
      </c>
      <c r="M14" s="76">
        <f>'Cases to DF Pounds'!$J14*21.28</f>
        <v>0</v>
      </c>
      <c r="N14" s="70"/>
      <c r="O14" s="15"/>
      <c r="X14" s="1"/>
    </row>
    <row r="15" spans="3:24" s="14" customFormat="1" ht="19.5" customHeight="1">
      <c r="C15" s="16">
        <v>13440</v>
      </c>
      <c r="D15" s="17" t="s">
        <v>80</v>
      </c>
      <c r="E15" s="18">
        <v>20.08</v>
      </c>
      <c r="F15" s="18" t="s">
        <v>32</v>
      </c>
      <c r="G15" s="39">
        <v>0</v>
      </c>
      <c r="H15" s="19" t="s">
        <v>3</v>
      </c>
      <c r="I15" s="43">
        <v>78</v>
      </c>
      <c r="J15" s="84"/>
      <c r="K15" s="44">
        <f>'Cases to DF Pounds'!$J15*'Cases to DF Pounds'!$I15</f>
        <v>0</v>
      </c>
      <c r="L15" s="45">
        <f>'Cases to DF Pounds'!$J15*20.08</f>
        <v>0</v>
      </c>
      <c r="M15" s="76">
        <f>'Cases to DF Pounds'!$J15*21.28</f>
        <v>0</v>
      </c>
      <c r="N15" s="70"/>
      <c r="O15" s="15"/>
      <c r="X15" s="1"/>
    </row>
    <row r="16" spans="3:24" s="14" customFormat="1" ht="19.5" customHeight="1">
      <c r="C16" s="20">
        <v>13410</v>
      </c>
      <c r="D16" s="21" t="s">
        <v>81</v>
      </c>
      <c r="E16" s="18">
        <v>20.08</v>
      </c>
      <c r="F16" s="18" t="s">
        <v>32</v>
      </c>
      <c r="G16" s="40">
        <v>0</v>
      </c>
      <c r="H16" s="22" t="s">
        <v>93</v>
      </c>
      <c r="I16" s="41">
        <v>77</v>
      </c>
      <c r="J16" s="85"/>
      <c r="K16" s="44">
        <f>'Cases to DF Pounds'!$J16*'Cases to DF Pounds'!$I16</f>
        <v>0</v>
      </c>
      <c r="L16" s="45">
        <f>'Cases to DF Pounds'!$J16*20.08</f>
        <v>0</v>
      </c>
      <c r="M16" s="76">
        <f>'Cases to DF Pounds'!$J16*21.28</f>
        <v>0</v>
      </c>
      <c r="N16" s="67"/>
      <c r="O16" s="15"/>
      <c r="X16" s="1"/>
    </row>
    <row r="17" spans="3:24" s="14" customFormat="1" ht="19.5" customHeight="1">
      <c r="C17" s="20">
        <v>13443</v>
      </c>
      <c r="D17" s="21" t="s">
        <v>121</v>
      </c>
      <c r="E17" s="18">
        <v>20.08</v>
      </c>
      <c r="F17" s="18" t="s">
        <v>32</v>
      </c>
      <c r="G17" s="40">
        <v>0</v>
      </c>
      <c r="H17" s="22" t="s">
        <v>71</v>
      </c>
      <c r="I17" s="41">
        <v>77</v>
      </c>
      <c r="J17" s="85"/>
      <c r="K17" s="44">
        <f>'Cases to DF Pounds'!$J17*'Cases to DF Pounds'!$I17</f>
        <v>0</v>
      </c>
      <c r="L17" s="45">
        <f>'Cases to DF Pounds'!$J17*20.08</f>
        <v>0</v>
      </c>
      <c r="M17" s="76">
        <f>'Cases to DF Pounds'!$J17*21.28</f>
        <v>0</v>
      </c>
      <c r="N17" s="67"/>
      <c r="O17" s="15"/>
      <c r="X17" s="1"/>
    </row>
    <row r="18" spans="3:24" s="14" customFormat="1" ht="19.5" customHeight="1">
      <c r="C18" s="20">
        <v>13415</v>
      </c>
      <c r="D18" s="21" t="s">
        <v>13</v>
      </c>
      <c r="E18" s="18">
        <v>20.08</v>
      </c>
      <c r="F18" s="18" t="s">
        <v>32</v>
      </c>
      <c r="G18" s="40">
        <v>0</v>
      </c>
      <c r="H18" s="22" t="s">
        <v>95</v>
      </c>
      <c r="I18" s="41">
        <v>160</v>
      </c>
      <c r="J18" s="85"/>
      <c r="K18" s="44">
        <f>'Cases to DF Pounds'!$J18*'Cases to DF Pounds'!$I18</f>
        <v>0</v>
      </c>
      <c r="L18" s="45">
        <f>'Cases to DF Pounds'!$J18*20.08</f>
        <v>0</v>
      </c>
      <c r="M18" s="76">
        <f>'Cases to DF Pounds'!$J18*21.28</f>
        <v>0</v>
      </c>
      <c r="N18" s="67"/>
      <c r="O18" s="15"/>
      <c r="X18" s="1"/>
    </row>
    <row r="19" spans="3:24" s="14" customFormat="1" ht="19.5" customHeight="1">
      <c r="C19" s="20">
        <v>13441</v>
      </c>
      <c r="D19" s="21" t="s">
        <v>82</v>
      </c>
      <c r="E19" s="18">
        <v>20.08</v>
      </c>
      <c r="F19" s="18" t="s">
        <v>32</v>
      </c>
      <c r="G19" s="40">
        <v>0</v>
      </c>
      <c r="H19" s="22" t="s">
        <v>96</v>
      </c>
      <c r="I19" s="41">
        <v>156</v>
      </c>
      <c r="J19" s="85"/>
      <c r="K19" s="44">
        <f>'Cases to DF Pounds'!$J19*'Cases to DF Pounds'!$I19</f>
        <v>0</v>
      </c>
      <c r="L19" s="45">
        <f>'Cases to DF Pounds'!$J19*20.08</f>
        <v>0</v>
      </c>
      <c r="M19" s="76">
        <f>'Cases to DF Pounds'!$J19*21.28</f>
        <v>0</v>
      </c>
      <c r="N19" s="67"/>
      <c r="O19" s="15"/>
      <c r="X19" s="1"/>
    </row>
    <row r="20" spans="3:24" s="14" customFormat="1" ht="19.5" customHeight="1">
      <c r="C20" s="20">
        <v>13444</v>
      </c>
      <c r="D20" s="21" t="s">
        <v>122</v>
      </c>
      <c r="E20" s="18">
        <v>20.08</v>
      </c>
      <c r="F20" s="18" t="s">
        <v>32</v>
      </c>
      <c r="G20" s="40">
        <v>0</v>
      </c>
      <c r="H20" s="22" t="s">
        <v>97</v>
      </c>
      <c r="I20" s="41">
        <v>160</v>
      </c>
      <c r="J20" s="85"/>
      <c r="K20" s="44">
        <f>'Cases to DF Pounds'!$J20*'Cases to DF Pounds'!$I20</f>
        <v>0</v>
      </c>
      <c r="L20" s="45">
        <f>'Cases to DF Pounds'!$J20*20.08</f>
        <v>0</v>
      </c>
      <c r="M20" s="76">
        <f>'Cases to DF Pounds'!$J20*21.28</f>
        <v>0</v>
      </c>
      <c r="N20" s="67"/>
      <c r="O20" s="15"/>
      <c r="X20" s="1"/>
    </row>
    <row r="21" spans="3:24" s="14" customFormat="1" ht="19.5" customHeight="1">
      <c r="C21" s="20">
        <v>23403</v>
      </c>
      <c r="D21" s="21" t="s">
        <v>14</v>
      </c>
      <c r="E21" s="18">
        <v>20.08</v>
      </c>
      <c r="F21" s="18" t="s">
        <v>32</v>
      </c>
      <c r="G21" s="40">
        <v>0</v>
      </c>
      <c r="H21" s="22" t="s">
        <v>22</v>
      </c>
      <c r="I21" s="41">
        <v>78</v>
      </c>
      <c r="J21" s="85"/>
      <c r="K21" s="44">
        <f>'Cases to DF Pounds'!$J21*'Cases to DF Pounds'!$I21</f>
        <v>0</v>
      </c>
      <c r="L21" s="45">
        <f>'Cases to DF Pounds'!$J21*20.08</f>
        <v>0</v>
      </c>
      <c r="M21" s="76">
        <f>'Cases to DF Pounds'!$J21*21.28</f>
        <v>0</v>
      </c>
      <c r="N21" s="67"/>
      <c r="O21" s="15"/>
      <c r="X21" s="1"/>
    </row>
    <row r="22" spans="3:24" s="14" customFormat="1" ht="19.5" customHeight="1">
      <c r="C22" s="20">
        <v>23415</v>
      </c>
      <c r="D22" s="21" t="s">
        <v>83</v>
      </c>
      <c r="E22" s="18">
        <v>20.08</v>
      </c>
      <c r="F22" s="18" t="s">
        <v>32</v>
      </c>
      <c r="G22" s="40">
        <v>0</v>
      </c>
      <c r="H22" s="22" t="s">
        <v>98</v>
      </c>
      <c r="I22" s="41">
        <v>78</v>
      </c>
      <c r="J22" s="85"/>
      <c r="K22" s="44">
        <f>'Cases to DF Pounds'!$J22*'Cases to DF Pounds'!$I22</f>
        <v>0</v>
      </c>
      <c r="L22" s="45">
        <f>'Cases to DF Pounds'!$J22*20.08</f>
        <v>0</v>
      </c>
      <c r="M22" s="76">
        <f>'Cases to DF Pounds'!$J22*21.28</f>
        <v>0</v>
      </c>
      <c r="N22" s="67"/>
      <c r="O22" s="15"/>
      <c r="X22" s="1"/>
    </row>
    <row r="23" spans="3:24" s="14" customFormat="1" ht="19.5" customHeight="1">
      <c r="C23" s="20">
        <v>23404</v>
      </c>
      <c r="D23" s="21" t="s">
        <v>84</v>
      </c>
      <c r="E23" s="18">
        <v>20.08</v>
      </c>
      <c r="F23" s="18" t="s">
        <v>32</v>
      </c>
      <c r="G23" s="40">
        <v>0</v>
      </c>
      <c r="H23" s="22" t="s">
        <v>99</v>
      </c>
      <c r="I23" s="41">
        <v>78</v>
      </c>
      <c r="J23" s="85"/>
      <c r="K23" s="44">
        <f>'Cases to DF Pounds'!$J23*'Cases to DF Pounds'!$I23</f>
        <v>0</v>
      </c>
      <c r="L23" s="45">
        <f>'Cases to DF Pounds'!$J23*20.08</f>
        <v>0</v>
      </c>
      <c r="M23" s="76">
        <f>'Cases to DF Pounds'!$J23*21.28</f>
        <v>0</v>
      </c>
      <c r="N23" s="67"/>
      <c r="O23" s="15"/>
      <c r="X23" s="1"/>
    </row>
    <row r="24" spans="3:24" s="14" customFormat="1" ht="19.5" customHeight="1">
      <c r="C24" s="20">
        <v>23417</v>
      </c>
      <c r="D24" s="21" t="s">
        <v>123</v>
      </c>
      <c r="E24" s="18">
        <v>20.08</v>
      </c>
      <c r="F24" s="18" t="s">
        <v>32</v>
      </c>
      <c r="G24" s="40">
        <v>0</v>
      </c>
      <c r="H24" s="22" t="s">
        <v>73</v>
      </c>
      <c r="I24" s="41">
        <v>77</v>
      </c>
      <c r="J24" s="85"/>
      <c r="K24" s="44">
        <f>'Cases to DF Pounds'!$J24*'Cases to DF Pounds'!$I24</f>
        <v>0</v>
      </c>
      <c r="L24" s="45">
        <f>'Cases to DF Pounds'!$J24*20.08</f>
        <v>0</v>
      </c>
      <c r="M24" s="76">
        <f>'Cases to DF Pounds'!$J24*21.28</f>
        <v>0</v>
      </c>
      <c r="N24" s="67"/>
      <c r="O24" s="15"/>
      <c r="X24" s="1"/>
    </row>
    <row r="25" spans="3:24" s="14" customFormat="1" ht="19.5" customHeight="1">
      <c r="C25" s="20">
        <v>43403</v>
      </c>
      <c r="D25" s="21" t="s">
        <v>15</v>
      </c>
      <c r="E25" s="18">
        <v>20.08</v>
      </c>
      <c r="F25" s="18" t="s">
        <v>32</v>
      </c>
      <c r="G25" s="40">
        <v>0</v>
      </c>
      <c r="H25" s="22" t="s">
        <v>21</v>
      </c>
      <c r="I25" s="41">
        <v>80</v>
      </c>
      <c r="J25" s="85"/>
      <c r="K25" s="44">
        <f>'Cases to DF Pounds'!$J25*'Cases to DF Pounds'!$I25</f>
        <v>0</v>
      </c>
      <c r="L25" s="45">
        <f>'Cases to DF Pounds'!$J25*20.08</f>
        <v>0</v>
      </c>
      <c r="M25" s="76">
        <f>'Cases to DF Pounds'!$J25*21.28</f>
        <v>0</v>
      </c>
      <c r="N25" s="67"/>
      <c r="O25" s="15"/>
      <c r="X25" s="1"/>
    </row>
    <row r="26" spans="3:24" s="14" customFormat="1" ht="19.5" customHeight="1">
      <c r="C26" s="23">
        <v>43424</v>
      </c>
      <c r="D26" s="24" t="s">
        <v>85</v>
      </c>
      <c r="E26" s="18">
        <v>20.08</v>
      </c>
      <c r="F26" s="18" t="s">
        <v>32</v>
      </c>
      <c r="G26" s="54">
        <v>0</v>
      </c>
      <c r="H26" s="25" t="s">
        <v>94</v>
      </c>
      <c r="I26" s="55">
        <v>80</v>
      </c>
      <c r="J26" s="86"/>
      <c r="K26" s="44">
        <f>'Cases to DF Pounds'!$J26*'Cases to DF Pounds'!$I26</f>
        <v>0</v>
      </c>
      <c r="L26" s="45">
        <f>'Cases to DF Pounds'!$J26*20.08</f>
        <v>0</v>
      </c>
      <c r="M26" s="76">
        <f>'Cases to DF Pounds'!$J26*21.28</f>
        <v>0</v>
      </c>
      <c r="N26" s="71"/>
      <c r="O26" s="15"/>
      <c r="X26" s="1"/>
    </row>
    <row r="27" spans="3:24" s="14" customFormat="1" ht="20.25" customHeight="1">
      <c r="C27" s="23">
        <v>43404</v>
      </c>
      <c r="D27" s="24" t="s">
        <v>86</v>
      </c>
      <c r="E27" s="18">
        <v>20.08</v>
      </c>
      <c r="F27" s="18" t="s">
        <v>32</v>
      </c>
      <c r="G27" s="54">
        <v>0</v>
      </c>
      <c r="H27" s="25" t="s">
        <v>72</v>
      </c>
      <c r="I27" s="55">
        <v>80</v>
      </c>
      <c r="J27" s="86"/>
      <c r="K27" s="44">
        <f>'Cases to DF Pounds'!$J27*'Cases to DF Pounds'!$I27</f>
        <v>0</v>
      </c>
      <c r="L27" s="45">
        <f>'Cases to DF Pounds'!$J27*20.08</f>
        <v>0</v>
      </c>
      <c r="M27" s="76">
        <f>'Cases to DF Pounds'!$J27*21.28</f>
        <v>0</v>
      </c>
      <c r="N27" s="71"/>
      <c r="O27" s="15"/>
      <c r="X27" s="1"/>
    </row>
    <row r="28" spans="3:18" s="14" customFormat="1" ht="20.25" customHeight="1">
      <c r="C28" s="46" t="s">
        <v>10</v>
      </c>
      <c r="D28" s="57"/>
      <c r="E28" s="57"/>
      <c r="F28" s="57"/>
      <c r="G28" s="57"/>
      <c r="H28" s="58"/>
      <c r="I28" s="59"/>
      <c r="J28" s="60"/>
      <c r="K28" s="61"/>
      <c r="L28" s="60"/>
      <c r="M28" s="60"/>
      <c r="N28" s="62"/>
      <c r="O28" s="15"/>
      <c r="R28" s="100"/>
    </row>
    <row r="29" spans="3:15" s="14" customFormat="1" ht="20.25" customHeight="1">
      <c r="C29" s="16">
        <v>54485</v>
      </c>
      <c r="D29" s="17" t="s">
        <v>87</v>
      </c>
      <c r="E29" s="18">
        <v>20.08</v>
      </c>
      <c r="F29" s="18" t="s">
        <v>32</v>
      </c>
      <c r="G29" s="39">
        <v>0</v>
      </c>
      <c r="H29" s="19" t="s">
        <v>100</v>
      </c>
      <c r="I29" s="56">
        <v>76</v>
      </c>
      <c r="J29" s="99"/>
      <c r="K29" s="44">
        <f>'Cases to DF Pounds'!$J29*'Cases to DF Pounds'!$I29</f>
        <v>0</v>
      </c>
      <c r="L29" s="45">
        <f>'Cases to DF Pounds'!$J29*20.08</f>
        <v>0</v>
      </c>
      <c r="M29" s="76">
        <f>'Cases to DF Pounds'!$J29*21.28</f>
        <v>0</v>
      </c>
      <c r="N29" s="70"/>
      <c r="O29" s="15"/>
    </row>
    <row r="30" spans="3:15" s="14" customFormat="1" ht="20.25" customHeight="1">
      <c r="C30" s="20">
        <v>54486</v>
      </c>
      <c r="D30" s="21" t="s">
        <v>88</v>
      </c>
      <c r="E30" s="18">
        <v>20.08</v>
      </c>
      <c r="F30" s="18" t="s">
        <v>32</v>
      </c>
      <c r="G30" s="40">
        <v>0</v>
      </c>
      <c r="H30" s="22" t="s">
        <v>101</v>
      </c>
      <c r="I30" s="42">
        <v>78</v>
      </c>
      <c r="J30" s="98"/>
      <c r="K30" s="44">
        <f>'Cases to DF Pounds'!$J30*'Cases to DF Pounds'!$I30</f>
        <v>0</v>
      </c>
      <c r="L30" s="45">
        <f>'Cases to DF Pounds'!$J30*20.08</f>
        <v>0</v>
      </c>
      <c r="M30" s="76">
        <f>'Cases to DF Pounds'!$J30*21.28</f>
        <v>0</v>
      </c>
      <c r="N30" s="67"/>
      <c r="O30" s="15"/>
    </row>
    <row r="31" spans="3:15" s="14" customFormat="1" ht="20.25" customHeight="1">
      <c r="C31" s="20">
        <v>54487</v>
      </c>
      <c r="D31" s="21" t="s">
        <v>89</v>
      </c>
      <c r="E31" s="18">
        <v>20.08</v>
      </c>
      <c r="F31" s="18" t="s">
        <v>32</v>
      </c>
      <c r="G31" s="40">
        <v>0</v>
      </c>
      <c r="H31" s="22" t="s">
        <v>102</v>
      </c>
      <c r="I31" s="42">
        <v>76</v>
      </c>
      <c r="J31" s="98"/>
      <c r="K31" s="44">
        <f>'Cases to DF Pounds'!$J31*'Cases to DF Pounds'!$I31</f>
        <v>0</v>
      </c>
      <c r="L31" s="45">
        <f>'Cases to DF Pounds'!$J31*20.08</f>
        <v>0</v>
      </c>
      <c r="M31" s="76">
        <f>'Cases to DF Pounds'!$J31*21.28</f>
        <v>0</v>
      </c>
      <c r="N31" s="67"/>
      <c r="O31" s="15"/>
    </row>
    <row r="32" spans="3:15" s="14" customFormat="1" ht="20.25" customHeight="1">
      <c r="C32" s="20">
        <v>54496</v>
      </c>
      <c r="D32" s="21" t="s">
        <v>90</v>
      </c>
      <c r="E32" s="18">
        <v>20.08</v>
      </c>
      <c r="F32" s="18" t="s">
        <v>32</v>
      </c>
      <c r="G32" s="40">
        <v>0</v>
      </c>
      <c r="H32" s="22" t="s">
        <v>93</v>
      </c>
      <c r="I32" s="42">
        <v>78</v>
      </c>
      <c r="J32" s="98"/>
      <c r="K32" s="44">
        <f>'Cases to DF Pounds'!$J32*'Cases to DF Pounds'!$I32</f>
        <v>0</v>
      </c>
      <c r="L32" s="45">
        <f>'Cases to DF Pounds'!$J32*20.08</f>
        <v>0</v>
      </c>
      <c r="M32" s="76">
        <f>'Cases to DF Pounds'!$J32*21.28</f>
        <v>0</v>
      </c>
      <c r="N32" s="67"/>
      <c r="O32" s="15"/>
    </row>
    <row r="33" spans="3:15" s="8" customFormat="1" ht="20.25" customHeight="1">
      <c r="C33" s="20">
        <v>54497</v>
      </c>
      <c r="D33" s="21" t="s">
        <v>91</v>
      </c>
      <c r="E33" s="18">
        <v>20.08</v>
      </c>
      <c r="F33" s="18" t="s">
        <v>32</v>
      </c>
      <c r="G33" s="40">
        <v>0</v>
      </c>
      <c r="H33" s="22" t="s">
        <v>100</v>
      </c>
      <c r="I33" s="42">
        <v>77</v>
      </c>
      <c r="J33" s="98"/>
      <c r="K33" s="44">
        <f>'Cases to DF Pounds'!$J33*'Cases to DF Pounds'!$I33</f>
        <v>0</v>
      </c>
      <c r="L33" s="45">
        <f>'Cases to DF Pounds'!$J33*20.08</f>
        <v>0</v>
      </c>
      <c r="M33" s="76">
        <f>'Cases to DF Pounds'!$J33*21.28</f>
        <v>0</v>
      </c>
      <c r="N33" s="67"/>
      <c r="O33" s="9"/>
    </row>
    <row r="34" spans="3:14" ht="20.25" customHeight="1">
      <c r="C34" s="133"/>
      <c r="D34" s="134"/>
      <c r="E34" s="134"/>
      <c r="F34" s="134"/>
      <c r="G34" s="134"/>
      <c r="H34" s="135"/>
      <c r="I34" s="136"/>
      <c r="J34" s="137">
        <f>SUM(J13:J33)</f>
        <v>0</v>
      </c>
      <c r="K34" s="138">
        <f>SUM(K13:K33)</f>
        <v>0</v>
      </c>
      <c r="L34" s="139">
        <f>SUM(L14:L27,L29:L33)</f>
        <v>0</v>
      </c>
      <c r="M34" s="140">
        <f>SUM(M14:M27,M29:M33)</f>
        <v>0</v>
      </c>
      <c r="N34" s="141"/>
    </row>
    <row r="35" spans="3:14" ht="20.25" customHeight="1">
      <c r="C35" s="133"/>
      <c r="D35" s="134"/>
      <c r="E35" s="134"/>
      <c r="F35" s="134"/>
      <c r="G35" s="134"/>
      <c r="H35" s="135"/>
      <c r="I35" s="136"/>
      <c r="J35" s="161"/>
      <c r="K35" s="162"/>
      <c r="L35" s="163"/>
      <c r="M35" s="164"/>
      <c r="N35" s="165"/>
    </row>
    <row r="36" spans="3:14" ht="45" customHeight="1">
      <c r="C36" s="90" t="s">
        <v>74</v>
      </c>
      <c r="D36" s="90"/>
      <c r="E36" s="90"/>
      <c r="F36" s="90"/>
      <c r="G36" s="93"/>
      <c r="H36" s="94"/>
      <c r="I36" s="95" t="s">
        <v>52</v>
      </c>
      <c r="J36" s="97">
        <f>'Dashboard Tables (DF POUNDS)'!$E$18:$E$18</f>
        <v>0</v>
      </c>
      <c r="K36" s="6"/>
      <c r="L36" s="6"/>
      <c r="M36" s="95" t="s">
        <v>64</v>
      </c>
      <c r="N36" s="97">
        <f>'Dashboard Tables (DF POUNDS)'!$G$18:$G$18</f>
        <v>0</v>
      </c>
    </row>
    <row r="37" spans="3:14" s="8" customFormat="1" ht="45" customHeight="1">
      <c r="C37" s="90"/>
      <c r="D37" s="90"/>
      <c r="E37" s="90"/>
      <c r="F37" s="90"/>
      <c r="G37" s="93"/>
      <c r="H37" s="89"/>
      <c r="I37" s="95" t="s">
        <v>53</v>
      </c>
      <c r="J37" s="97">
        <f>'Dashboard Tables (DF POUNDS)'!$F$18:$F$18</f>
        <v>0</v>
      </c>
      <c r="K37" s="91"/>
      <c r="L37" s="91"/>
      <c r="M37" s="96" t="s">
        <v>65</v>
      </c>
      <c r="N37" s="97">
        <f>'Dashboard Tables (DF POUNDS)'!$H$18:$H$18</f>
        <v>0</v>
      </c>
    </row>
    <row r="38" spans="3:14" s="14" customFormat="1" ht="60.75" customHeight="1">
      <c r="C38" s="65" t="s">
        <v>0</v>
      </c>
      <c r="D38" s="66" t="s">
        <v>1</v>
      </c>
      <c r="E38" s="66" t="s">
        <v>23</v>
      </c>
      <c r="F38" s="66" t="s">
        <v>27</v>
      </c>
      <c r="G38" s="66" t="s">
        <v>26</v>
      </c>
      <c r="H38" s="66" t="s">
        <v>2</v>
      </c>
      <c r="I38" s="65" t="s">
        <v>24</v>
      </c>
      <c r="J38" s="65" t="s">
        <v>47</v>
      </c>
      <c r="K38" s="65" t="s">
        <v>7</v>
      </c>
      <c r="L38" s="65" t="s">
        <v>25</v>
      </c>
      <c r="M38" s="65" t="s">
        <v>30</v>
      </c>
      <c r="N38" s="65" t="s">
        <v>31</v>
      </c>
    </row>
    <row r="39" spans="3:14" s="14" customFormat="1" ht="20.25" customHeight="1">
      <c r="C39" s="26">
        <v>81401</v>
      </c>
      <c r="D39" s="27" t="s">
        <v>38</v>
      </c>
      <c r="E39" s="28">
        <v>50.28</v>
      </c>
      <c r="F39" s="36">
        <v>0</v>
      </c>
      <c r="G39" s="28" t="s">
        <v>45</v>
      </c>
      <c r="H39" s="29" t="s">
        <v>41</v>
      </c>
      <c r="I39" s="30">
        <v>232</v>
      </c>
      <c r="J39" s="98"/>
      <c r="K39" s="31">
        <f>'Cases to DF Pounds'!$J39*232</f>
        <v>0</v>
      </c>
      <c r="L39" s="32">
        <f>'Cases to DF Pounds'!$J39*50.28</f>
        <v>0</v>
      </c>
      <c r="M39" s="37"/>
      <c r="N39" s="37">
        <f>'Cases to DF Pounds'!$J39*53.3</f>
        <v>0</v>
      </c>
    </row>
    <row r="40" spans="3:14" s="8" customFormat="1" ht="20.25" customHeight="1">
      <c r="C40" s="169">
        <v>94403</v>
      </c>
      <c r="D40" s="27" t="s">
        <v>92</v>
      </c>
      <c r="E40" s="101">
        <v>32</v>
      </c>
      <c r="F40" s="36">
        <v>0</v>
      </c>
      <c r="G40" s="105" t="s">
        <v>55</v>
      </c>
      <c r="H40" s="29" t="s">
        <v>103</v>
      </c>
      <c r="I40" s="30">
        <v>76</v>
      </c>
      <c r="J40" s="98"/>
      <c r="K40" s="31">
        <f>'Cases to DF Pounds'!$J40*76</f>
        <v>0</v>
      </c>
      <c r="L40" s="32">
        <f>'Cases to DF Pounds'!$J40*32</f>
        <v>0</v>
      </c>
      <c r="M40" s="37"/>
      <c r="N40" s="37">
        <f>'Cases to DF Pounds'!$J40*33.92</f>
        <v>0</v>
      </c>
    </row>
    <row r="41" spans="3:14" ht="20.25" customHeight="1">
      <c r="C41" s="26">
        <v>91401</v>
      </c>
      <c r="D41" s="27" t="s">
        <v>61</v>
      </c>
      <c r="E41" s="171">
        <v>37.05</v>
      </c>
      <c r="F41" s="36">
        <v>0</v>
      </c>
      <c r="G41" s="28" t="s">
        <v>69</v>
      </c>
      <c r="H41" s="29" t="s">
        <v>63</v>
      </c>
      <c r="I41" s="30">
        <v>123</v>
      </c>
      <c r="J41" s="98"/>
      <c r="K41" s="31">
        <f>'Cases to DF Pounds'!$J41*123</f>
        <v>0</v>
      </c>
      <c r="L41" s="32">
        <f>'Cases to DF Pounds'!$J41*37.05</f>
        <v>0</v>
      </c>
      <c r="M41" s="37"/>
      <c r="N41" s="37">
        <f>'Cases to DF Pounds'!$J41*39.27</f>
        <v>0</v>
      </c>
    </row>
    <row r="42" spans="3:14" ht="20.25" customHeight="1">
      <c r="C42" s="26">
        <v>91402</v>
      </c>
      <c r="D42" s="27" t="s">
        <v>62</v>
      </c>
      <c r="E42" s="172">
        <v>36.41</v>
      </c>
      <c r="F42" s="36">
        <v>0</v>
      </c>
      <c r="G42" s="105" t="s">
        <v>70</v>
      </c>
      <c r="H42" s="29" t="s">
        <v>63</v>
      </c>
      <c r="I42" s="30">
        <v>123</v>
      </c>
      <c r="J42" s="98"/>
      <c r="K42" s="31">
        <f>'Cases to DF Pounds'!$J42*123</f>
        <v>0</v>
      </c>
      <c r="L42" s="32">
        <f>'Cases to DF Pounds'!$J42*36.41</f>
        <v>0</v>
      </c>
      <c r="M42" s="37"/>
      <c r="N42" s="37">
        <f>'Cases to DF Pounds'!$J42*38.59</f>
        <v>0</v>
      </c>
    </row>
    <row r="43" spans="3:15" s="14" customFormat="1" ht="20.25" customHeight="1">
      <c r="C43" s="142"/>
      <c r="D43" s="143"/>
      <c r="E43" s="143"/>
      <c r="F43" s="143"/>
      <c r="G43" s="143"/>
      <c r="H43" s="144"/>
      <c r="I43" s="136"/>
      <c r="J43" s="137">
        <f>SUM(J39:J42)</f>
        <v>0</v>
      </c>
      <c r="K43" s="138">
        <f>SUM(K39:K42)</f>
        <v>0</v>
      </c>
      <c r="L43" s="145">
        <f>SUM(L39:L42)</f>
        <v>0</v>
      </c>
      <c r="M43" s="146"/>
      <c r="N43" s="146">
        <f>SUM(N39:N42)</f>
        <v>0</v>
      </c>
      <c r="O43" s="15"/>
    </row>
    <row r="44" spans="3:15" s="14" customFormat="1" ht="42" customHeight="1">
      <c r="C44" s="142"/>
      <c r="D44" s="143"/>
      <c r="E44" s="143"/>
      <c r="F44" s="143"/>
      <c r="G44" s="143"/>
      <c r="H44" s="144"/>
      <c r="I44" s="136"/>
      <c r="J44" s="161"/>
      <c r="K44" s="162"/>
      <c r="L44" s="168"/>
      <c r="M44" s="166"/>
      <c r="N44" s="166"/>
      <c r="O44" s="15"/>
    </row>
    <row r="45" spans="3:15" s="14" customFormat="1" ht="49.5" customHeight="1">
      <c r="C45" s="103" t="s">
        <v>79</v>
      </c>
      <c r="D45" s="103"/>
      <c r="E45" s="103"/>
      <c r="F45" s="103"/>
      <c r="G45" s="78"/>
      <c r="H45" s="78"/>
      <c r="I45" s="81"/>
      <c r="J45" s="38"/>
      <c r="K45" s="174"/>
      <c r="L45" s="174"/>
      <c r="M45" s="38"/>
      <c r="N45" s="72"/>
      <c r="O45" s="15"/>
    </row>
    <row r="46" spans="3:14" s="14" customFormat="1" ht="60.75" customHeight="1">
      <c r="C46" s="63" t="s">
        <v>0</v>
      </c>
      <c r="D46" s="64" t="s">
        <v>1</v>
      </c>
      <c r="E46" s="64" t="s">
        <v>23</v>
      </c>
      <c r="F46" s="64" t="s">
        <v>27</v>
      </c>
      <c r="G46" s="64" t="s">
        <v>26</v>
      </c>
      <c r="H46" s="64" t="s">
        <v>2</v>
      </c>
      <c r="I46" s="63" t="s">
        <v>24</v>
      </c>
      <c r="J46" s="63" t="s">
        <v>47</v>
      </c>
      <c r="K46" s="173" t="s">
        <v>7</v>
      </c>
      <c r="L46" s="173" t="s">
        <v>25</v>
      </c>
      <c r="M46" s="63" t="s">
        <v>30</v>
      </c>
      <c r="N46" s="63" t="s">
        <v>31</v>
      </c>
    </row>
    <row r="47" spans="3:14" s="14" customFormat="1" ht="19.5" customHeight="1">
      <c r="C47" s="26">
        <v>54409</v>
      </c>
      <c r="D47" s="27" t="s">
        <v>16</v>
      </c>
      <c r="E47" s="28">
        <v>13.76</v>
      </c>
      <c r="F47" s="28" t="s">
        <v>28</v>
      </c>
      <c r="G47" s="28" t="s">
        <v>29</v>
      </c>
      <c r="H47" s="29" t="s">
        <v>4</v>
      </c>
      <c r="I47" s="30">
        <v>107</v>
      </c>
      <c r="J47" s="85"/>
      <c r="K47" s="31">
        <f>'Cases to DF Pounds'!$J47*107</f>
        <v>0</v>
      </c>
      <c r="L47" s="32">
        <f>'Cases to DF Pounds'!$J47*13.76</f>
        <v>0</v>
      </c>
      <c r="M47" s="37">
        <f>'Cases to DF Pounds'!$J47*10.05</f>
        <v>0</v>
      </c>
      <c r="N47" s="37">
        <f>'Cases to DF Pounds'!$J47*4.54</f>
        <v>0</v>
      </c>
    </row>
    <row r="48" spans="3:15" s="14" customFormat="1" ht="19.5" customHeight="1">
      <c r="C48" s="26">
        <v>54410</v>
      </c>
      <c r="D48" s="27" t="s">
        <v>17</v>
      </c>
      <c r="E48" s="28">
        <v>13.76</v>
      </c>
      <c r="F48" s="28" t="s">
        <v>28</v>
      </c>
      <c r="G48" s="28" t="s">
        <v>29</v>
      </c>
      <c r="H48" s="29" t="s">
        <v>5</v>
      </c>
      <c r="I48" s="30">
        <v>107</v>
      </c>
      <c r="J48" s="85"/>
      <c r="K48" s="31">
        <f>'Cases to DF Pounds'!$J48*107</f>
        <v>0</v>
      </c>
      <c r="L48" s="32">
        <f>'Cases to DF Pounds'!$J48*13.76</f>
        <v>0</v>
      </c>
      <c r="M48" s="37">
        <f>'Cases to DF Pounds'!$J48*10.05</f>
        <v>0</v>
      </c>
      <c r="N48" s="37">
        <f>'Cases to DF Pounds'!$J48*4.54</f>
        <v>0</v>
      </c>
      <c r="O48" s="15"/>
    </row>
    <row r="49" spans="3:14" ht="19.5" customHeight="1">
      <c r="C49" s="26">
        <v>54411</v>
      </c>
      <c r="D49" s="27" t="s">
        <v>18</v>
      </c>
      <c r="E49" s="28">
        <v>13.76</v>
      </c>
      <c r="F49" s="28" t="s">
        <v>28</v>
      </c>
      <c r="G49" s="28" t="s">
        <v>29</v>
      </c>
      <c r="H49" s="29" t="s">
        <v>104</v>
      </c>
      <c r="I49" s="30">
        <v>214</v>
      </c>
      <c r="J49" s="85"/>
      <c r="K49" s="31">
        <f>'Cases to DF Pounds'!$J49*214</f>
        <v>0</v>
      </c>
      <c r="L49" s="32">
        <f>'Cases to DF Pounds'!$J49*13.76</f>
        <v>0</v>
      </c>
      <c r="M49" s="37">
        <f>'Cases to DF Pounds'!$J49*10.05</f>
        <v>0</v>
      </c>
      <c r="N49" s="37">
        <f>'Cases to DF Pounds'!$J49*4.54</f>
        <v>0</v>
      </c>
    </row>
    <row r="50" spans="3:14" ht="19.5" customHeight="1">
      <c r="C50" s="26">
        <v>54412</v>
      </c>
      <c r="D50" s="27" t="s">
        <v>19</v>
      </c>
      <c r="E50" s="28">
        <v>13.76</v>
      </c>
      <c r="F50" s="28" t="s">
        <v>28</v>
      </c>
      <c r="G50" s="28" t="s">
        <v>29</v>
      </c>
      <c r="H50" s="29" t="s">
        <v>6</v>
      </c>
      <c r="I50" s="30">
        <v>107</v>
      </c>
      <c r="J50" s="85"/>
      <c r="K50" s="31">
        <f>'Cases to DF Pounds'!$J50*107</f>
        <v>0</v>
      </c>
      <c r="L50" s="32">
        <f>'Cases to DF Pounds'!$J50*13.76</f>
        <v>0</v>
      </c>
      <c r="M50" s="37">
        <f>'Cases to DF Pounds'!$J50*10.05</f>
        <v>0</v>
      </c>
      <c r="N50" s="37">
        <f>'Cases to DF Pounds'!$J50*4.54</f>
        <v>0</v>
      </c>
    </row>
    <row r="51" spans="3:14" ht="19.5" customHeight="1">
      <c r="C51" s="26">
        <v>54427</v>
      </c>
      <c r="D51" s="27" t="s">
        <v>75</v>
      </c>
      <c r="E51" s="28">
        <v>13.76</v>
      </c>
      <c r="F51" s="28" t="s">
        <v>28</v>
      </c>
      <c r="G51" s="28" t="s">
        <v>29</v>
      </c>
      <c r="H51" s="29" t="s">
        <v>4</v>
      </c>
      <c r="I51" s="30">
        <v>107</v>
      </c>
      <c r="J51" s="85"/>
      <c r="K51" s="31">
        <f>'Cases to DF Pounds'!$J51*107</f>
        <v>0</v>
      </c>
      <c r="L51" s="32">
        <f>'Cases to DF Pounds'!$J51*13.76</f>
        <v>0</v>
      </c>
      <c r="M51" s="37">
        <f>'Cases to DF Pounds'!$J51*10.05</f>
        <v>0</v>
      </c>
      <c r="N51" s="37">
        <f>'Cases to DF Pounds'!$J51*4.54</f>
        <v>0</v>
      </c>
    </row>
    <row r="52" spans="3:14" s="3" customFormat="1" ht="19.5" customHeight="1">
      <c r="C52" s="26">
        <v>54430</v>
      </c>
      <c r="D52" s="27" t="s">
        <v>78</v>
      </c>
      <c r="E52" s="28">
        <v>13.76</v>
      </c>
      <c r="F52" s="28" t="s">
        <v>28</v>
      </c>
      <c r="G52" s="28" t="s">
        <v>29</v>
      </c>
      <c r="H52" s="29" t="s">
        <v>6</v>
      </c>
      <c r="I52" s="30">
        <v>107</v>
      </c>
      <c r="J52" s="87"/>
      <c r="K52" s="31">
        <f>'Cases to DF Pounds'!$J52*107</f>
        <v>0</v>
      </c>
      <c r="L52" s="32">
        <f>'Cases to DF Pounds'!$J52*13.76</f>
        <v>0</v>
      </c>
      <c r="M52" s="37">
        <f>'Cases to DF Pounds'!$J52*10.05</f>
        <v>0</v>
      </c>
      <c r="N52" s="37">
        <f>'Cases to DF Pounds'!$J52*4.54</f>
        <v>0</v>
      </c>
    </row>
    <row r="53" spans="3:14" s="3" customFormat="1" ht="19.5" customHeight="1">
      <c r="C53" s="26">
        <v>54453</v>
      </c>
      <c r="D53" s="27" t="s">
        <v>42</v>
      </c>
      <c r="E53" s="28">
        <v>13.76</v>
      </c>
      <c r="F53" s="28" t="s">
        <v>28</v>
      </c>
      <c r="G53" s="28" t="s">
        <v>29</v>
      </c>
      <c r="H53" s="29" t="s">
        <v>43</v>
      </c>
      <c r="I53" s="30">
        <v>107</v>
      </c>
      <c r="J53" s="85"/>
      <c r="K53" s="31">
        <f>'Cases to DF Pounds'!$J53*107</f>
        <v>0</v>
      </c>
      <c r="L53" s="32">
        <f>'Cases to DF Pounds'!$J53*13.76</f>
        <v>0</v>
      </c>
      <c r="M53" s="37">
        <f>'Cases to DF Pounds'!$J53*10.05</f>
        <v>0</v>
      </c>
      <c r="N53" s="37">
        <f>'Cases to DF Pounds'!$J53*4.54</f>
        <v>0</v>
      </c>
    </row>
    <row r="54" spans="3:14" s="3" customFormat="1" ht="19.5" customHeight="1">
      <c r="C54" s="26">
        <v>54463</v>
      </c>
      <c r="D54" s="27" t="s">
        <v>44</v>
      </c>
      <c r="E54" s="28">
        <v>13.76</v>
      </c>
      <c r="F54" s="28" t="s">
        <v>28</v>
      </c>
      <c r="G54" s="28" t="s">
        <v>29</v>
      </c>
      <c r="H54" s="29" t="s">
        <v>6</v>
      </c>
      <c r="I54" s="30">
        <v>107</v>
      </c>
      <c r="J54" s="85"/>
      <c r="K54" s="31">
        <f>'Cases to DF Pounds'!$J54*107</f>
        <v>0</v>
      </c>
      <c r="L54" s="32">
        <f>'Cases to DF Pounds'!$J54*13.76</f>
        <v>0</v>
      </c>
      <c r="M54" s="37">
        <f>'Cases to DF Pounds'!$J54*10.05</f>
        <v>0</v>
      </c>
      <c r="N54" s="37">
        <f>'Cases to DF Pounds'!$J54*4.54</f>
        <v>0</v>
      </c>
    </row>
    <row r="55" spans="3:14" s="9" customFormat="1" ht="19.5" customHeight="1">
      <c r="C55" s="26">
        <v>54464</v>
      </c>
      <c r="D55" s="27" t="s">
        <v>77</v>
      </c>
      <c r="E55" s="28">
        <v>13.76</v>
      </c>
      <c r="F55" s="28" t="s">
        <v>28</v>
      </c>
      <c r="G55" s="28" t="s">
        <v>29</v>
      </c>
      <c r="H55" s="29" t="s">
        <v>6</v>
      </c>
      <c r="I55" s="30">
        <v>107</v>
      </c>
      <c r="J55" s="85"/>
      <c r="K55" s="31">
        <f>'Cases to DF Pounds'!$J55*107</f>
        <v>0</v>
      </c>
      <c r="L55" s="32">
        <f>'Cases to DF Pounds'!$J55*13.76</f>
        <v>0</v>
      </c>
      <c r="M55" s="37">
        <f>'Cases to DF Pounds'!$J55*10.05</f>
        <v>0</v>
      </c>
      <c r="N55" s="37">
        <f>'Cases to DF Pounds'!$J55*4.54</f>
        <v>0</v>
      </c>
    </row>
    <row r="56" spans="3:17" s="3" customFormat="1" ht="19.5" customHeight="1">
      <c r="C56" s="142"/>
      <c r="D56" s="143"/>
      <c r="E56" s="143"/>
      <c r="F56" s="143"/>
      <c r="G56" s="143"/>
      <c r="H56" s="144"/>
      <c r="I56" s="136"/>
      <c r="J56" s="147">
        <f>SUM(J47:J55)</f>
        <v>0</v>
      </c>
      <c r="K56" s="148">
        <f>SUM(K47:K55)</f>
        <v>0</v>
      </c>
      <c r="L56" s="149">
        <f>SUBTOTAL(109,L47:L55)</f>
        <v>0</v>
      </c>
      <c r="M56" s="150">
        <f>SUM(M47:M55)</f>
        <v>0</v>
      </c>
      <c r="N56" s="150">
        <f>SUM(N47:N55)</f>
        <v>0</v>
      </c>
      <c r="O56" s="1"/>
      <c r="P56" s="1"/>
      <c r="Q56" s="1"/>
    </row>
    <row r="57" spans="3:17" s="3" customFormat="1" ht="19.5" customHeight="1">
      <c r="C57" s="142"/>
      <c r="D57" s="143"/>
      <c r="E57" s="143"/>
      <c r="F57" s="143"/>
      <c r="G57" s="143"/>
      <c r="H57" s="144"/>
      <c r="I57" s="136"/>
      <c r="J57" s="175"/>
      <c r="K57" s="176"/>
      <c r="L57" s="177"/>
      <c r="M57" s="178"/>
      <c r="N57" s="178"/>
      <c r="O57" s="1"/>
      <c r="P57" s="1"/>
      <c r="Q57" s="1"/>
    </row>
    <row r="58" spans="3:17" s="3" customFormat="1" ht="19.5" customHeight="1">
      <c r="C58" s="142"/>
      <c r="D58" s="143"/>
      <c r="E58" s="143"/>
      <c r="F58" s="143"/>
      <c r="G58" s="143"/>
      <c r="H58" s="144"/>
      <c r="I58" s="136"/>
      <c r="J58" s="175"/>
      <c r="K58" s="176"/>
      <c r="L58" s="177"/>
      <c r="M58" s="178"/>
      <c r="N58" s="178"/>
      <c r="O58" s="1"/>
      <c r="P58" s="1"/>
      <c r="Q58" s="1"/>
    </row>
    <row r="59" spans="3:17" s="3" customFormat="1" ht="49.5" customHeight="1">
      <c r="C59" s="179" t="s">
        <v>108</v>
      </c>
      <c r="D59" s="179"/>
      <c r="E59" s="179"/>
      <c r="F59" s="179"/>
      <c r="G59" s="180"/>
      <c r="H59" s="180"/>
      <c r="I59" s="181"/>
      <c r="J59" s="182"/>
      <c r="K59" s="183"/>
      <c r="L59" s="183"/>
      <c r="M59" s="182"/>
      <c r="N59" s="184"/>
      <c r="O59" s="1"/>
      <c r="P59" s="1"/>
      <c r="Q59" s="1"/>
    </row>
    <row r="60" spans="3:17" s="3" customFormat="1" ht="61.5" customHeight="1">
      <c r="C60" s="185" t="s">
        <v>0</v>
      </c>
      <c r="D60" s="186" t="s">
        <v>1</v>
      </c>
      <c r="E60" s="186" t="s">
        <v>23</v>
      </c>
      <c r="F60" s="186" t="s">
        <v>27</v>
      </c>
      <c r="G60" s="186" t="s">
        <v>26</v>
      </c>
      <c r="H60" s="186" t="s">
        <v>2</v>
      </c>
      <c r="I60" s="185" t="s">
        <v>24</v>
      </c>
      <c r="J60" s="185" t="s">
        <v>47</v>
      </c>
      <c r="K60" s="187" t="s">
        <v>7</v>
      </c>
      <c r="L60" s="187" t="s">
        <v>25</v>
      </c>
      <c r="M60" s="185" t="s">
        <v>30</v>
      </c>
      <c r="N60" s="185" t="s">
        <v>31</v>
      </c>
      <c r="O60" s="1"/>
      <c r="P60" s="1"/>
      <c r="Q60" s="1"/>
    </row>
    <row r="61" spans="3:18" s="3" customFormat="1" ht="19.5" customHeight="1">
      <c r="C61" s="26">
        <v>54402</v>
      </c>
      <c r="D61" s="27" t="s">
        <v>109</v>
      </c>
      <c r="E61" s="28">
        <v>6.94</v>
      </c>
      <c r="F61" s="28" t="s">
        <v>115</v>
      </c>
      <c r="G61" s="28" t="s">
        <v>116</v>
      </c>
      <c r="H61" s="29" t="s">
        <v>112</v>
      </c>
      <c r="I61" s="30">
        <v>54</v>
      </c>
      <c r="J61" s="85"/>
      <c r="K61" s="31">
        <f>'Cases to DF Pounds'!$J61*54</f>
        <v>0</v>
      </c>
      <c r="L61" s="188">
        <f>'Cases to DF Pounds'!$J61*'Cases to DF Pounds'!$E61</f>
        <v>0</v>
      </c>
      <c r="M61" s="37">
        <f>'Cases to DF Pounds'!$J61*5.07</f>
        <v>0</v>
      </c>
      <c r="N61" s="37">
        <f>'Cases to DF Pounds'!$J61*2.29</f>
        <v>0</v>
      </c>
      <c r="O61" s="1"/>
      <c r="P61" s="189"/>
      <c r="Q61" s="190"/>
      <c r="R61" s="191"/>
    </row>
    <row r="62" spans="3:18" s="3" customFormat="1" ht="19.5" customHeight="1">
      <c r="C62" s="26">
        <v>54406</v>
      </c>
      <c r="D62" s="27" t="s">
        <v>106</v>
      </c>
      <c r="E62" s="28">
        <v>6.94</v>
      </c>
      <c r="F62" s="28" t="s">
        <v>115</v>
      </c>
      <c r="G62" s="28" t="s">
        <v>116</v>
      </c>
      <c r="H62" s="29" t="s">
        <v>101</v>
      </c>
      <c r="I62" s="30">
        <v>54</v>
      </c>
      <c r="J62" s="85"/>
      <c r="K62" s="31">
        <f>'Cases to DF Pounds'!$J62*54</f>
        <v>0</v>
      </c>
      <c r="L62" s="188">
        <f>'Cases to DF Pounds'!$J62*'Cases to DF Pounds'!$E62</f>
        <v>0</v>
      </c>
      <c r="M62" s="37">
        <f>'Cases to DF Pounds'!$J62*5.07</f>
        <v>0</v>
      </c>
      <c r="N62" s="37">
        <f>'Cases to DF Pounds'!$J62*2.29</f>
        <v>0</v>
      </c>
      <c r="O62" s="1"/>
      <c r="P62" s="189"/>
      <c r="Q62" s="190"/>
      <c r="R62" s="191"/>
    </row>
    <row r="63" spans="3:18" s="3" customFormat="1" ht="19.5" customHeight="1">
      <c r="C63" s="26">
        <v>54404</v>
      </c>
      <c r="D63" s="27" t="s">
        <v>107</v>
      </c>
      <c r="E63" s="28">
        <v>10.29</v>
      </c>
      <c r="F63" s="28" t="s">
        <v>119</v>
      </c>
      <c r="G63" s="28" t="s">
        <v>120</v>
      </c>
      <c r="H63" s="29" t="s">
        <v>113</v>
      </c>
      <c r="I63" s="30">
        <v>80</v>
      </c>
      <c r="J63" s="85"/>
      <c r="K63" s="31">
        <f>'Cases to DF Pounds'!$J63*80</f>
        <v>0</v>
      </c>
      <c r="L63" s="188">
        <f>'Cases to DF Pounds'!$J63*'Cases to DF Pounds'!$E63</f>
        <v>0</v>
      </c>
      <c r="M63" s="37">
        <f>'Cases to DF Pounds'!$J63*7.51</f>
        <v>0</v>
      </c>
      <c r="N63" s="37">
        <f>'Cases to DF Pounds'!$J63*3.4</f>
        <v>0</v>
      </c>
      <c r="O63" s="1"/>
      <c r="P63" s="189"/>
      <c r="Q63" s="190"/>
      <c r="R63" s="191"/>
    </row>
    <row r="64" spans="3:18" s="3" customFormat="1" ht="19.5" customHeight="1">
      <c r="C64" s="26">
        <v>54403</v>
      </c>
      <c r="D64" s="27" t="s">
        <v>110</v>
      </c>
      <c r="E64" s="28">
        <v>5.79</v>
      </c>
      <c r="F64" s="28" t="s">
        <v>117</v>
      </c>
      <c r="G64" s="28" t="s">
        <v>118</v>
      </c>
      <c r="H64" s="29" t="s">
        <v>101</v>
      </c>
      <c r="I64" s="30">
        <v>45</v>
      </c>
      <c r="J64" s="85"/>
      <c r="K64" s="31">
        <f>'Cases to DF Pounds'!$J64*45</f>
        <v>0</v>
      </c>
      <c r="L64" s="188">
        <f>'Cases to DF Pounds'!$J64*'Cases to DF Pounds'!$E64</f>
        <v>0</v>
      </c>
      <c r="M64" s="37">
        <f>'Cases to DF Pounds'!$J64*4.23</f>
        <v>0</v>
      </c>
      <c r="N64" s="37">
        <f>'Cases to DF Pounds'!$J64*1.91</f>
        <v>0</v>
      </c>
      <c r="O64" s="1"/>
      <c r="P64" s="189"/>
      <c r="Q64" s="190"/>
      <c r="R64" s="191"/>
    </row>
    <row r="65" spans="3:18" s="3" customFormat="1" ht="19.5" customHeight="1">
      <c r="C65" s="26">
        <v>54408</v>
      </c>
      <c r="D65" s="27" t="s">
        <v>111</v>
      </c>
      <c r="E65" s="28">
        <v>5.79</v>
      </c>
      <c r="F65" s="28" t="s">
        <v>117</v>
      </c>
      <c r="G65" s="28" t="s">
        <v>118</v>
      </c>
      <c r="H65" s="29" t="s">
        <v>114</v>
      </c>
      <c r="I65" s="30">
        <v>45</v>
      </c>
      <c r="J65" s="85"/>
      <c r="K65" s="31">
        <f>'Cases to DF Pounds'!$J65*45</f>
        <v>0</v>
      </c>
      <c r="L65" s="188">
        <f>'Cases to DF Pounds'!$J65*'Cases to DF Pounds'!$E65</f>
        <v>0</v>
      </c>
      <c r="M65" s="37">
        <f>'Cases to DF Pounds'!$J65*4.23</f>
        <v>0</v>
      </c>
      <c r="N65" s="37">
        <f>'Cases to DF Pounds'!$J65*1.91</f>
        <v>0</v>
      </c>
      <c r="O65" s="1"/>
      <c r="P65" s="189"/>
      <c r="Q65" s="190"/>
      <c r="R65" s="191"/>
    </row>
    <row r="66" spans="3:17" s="3" customFormat="1" ht="19.5" customHeight="1">
      <c r="C66" s="142"/>
      <c r="D66" s="143"/>
      <c r="E66" s="143"/>
      <c r="F66" s="143"/>
      <c r="G66" s="143"/>
      <c r="H66" s="144"/>
      <c r="I66" s="136"/>
      <c r="J66" s="147">
        <f>SUM(J61:J65)</f>
        <v>0</v>
      </c>
      <c r="K66" s="148">
        <f>SUM(K61:K65)</f>
        <v>0</v>
      </c>
      <c r="L66" s="149">
        <f>SUBTOTAL(109,L61:L65)</f>
        <v>0</v>
      </c>
      <c r="M66" s="150">
        <f>SUM(M61:M65)</f>
        <v>0</v>
      </c>
      <c r="N66" s="150">
        <f>SUM(N61:N65)</f>
        <v>0</v>
      </c>
      <c r="O66" s="1"/>
      <c r="P66" s="1"/>
      <c r="Q66" s="1"/>
    </row>
    <row r="67" spans="15:17" s="3" customFormat="1" ht="19.5" customHeight="1">
      <c r="O67" s="1"/>
      <c r="P67" s="1"/>
      <c r="Q67" s="1"/>
    </row>
    <row r="68" s="3" customFormat="1" ht="30" customHeight="1">
      <c r="Z68" s="1"/>
    </row>
    <row r="69" s="3" customFormat="1" ht="15">
      <c r="Z69" s="1"/>
    </row>
    <row r="70" s="3" customFormat="1" ht="15">
      <c r="Z70" s="1"/>
    </row>
    <row r="71" s="3" customFormat="1" ht="30" customHeight="1"/>
    <row r="72" s="3" customFormat="1" ht="30" customHeight="1"/>
    <row r="73" s="3" customFormat="1" ht="30" customHeight="1"/>
    <row r="74" s="3" customFormat="1" ht="30" customHeight="1"/>
    <row r="75" s="3" customFormat="1" ht="30" customHeight="1">
      <c r="E75" s="158"/>
    </row>
    <row r="76" s="3" customFormat="1" ht="30" customHeight="1">
      <c r="E76"/>
    </row>
    <row r="77" spans="5:26" s="3" customFormat="1" ht="30" customHeight="1">
      <c r="E77"/>
      <c r="Z77" s="1"/>
    </row>
    <row r="78" spans="5:26" s="3" customFormat="1" ht="15" customHeight="1">
      <c r="E78" s="157"/>
      <c r="Z78" s="1"/>
    </row>
    <row r="79" s="3" customFormat="1" ht="48.75" customHeight="1">
      <c r="E79" s="157"/>
    </row>
    <row r="80" spans="3:14" s="3" customFormat="1" ht="48.75" customHeight="1">
      <c r="C80" s="1"/>
      <c r="D80" s="1"/>
      <c r="E80" s="159"/>
      <c r="F80" s="1"/>
      <c r="G80" s="1"/>
      <c r="H80" s="1"/>
      <c r="I80" s="2"/>
      <c r="J80" s="1"/>
      <c r="N80" s="1"/>
    </row>
    <row r="81" s="3" customFormat="1" ht="15" customHeight="1">
      <c r="E81" s="159" t="s">
        <v>56</v>
      </c>
    </row>
    <row r="82" s="3" customFormat="1" ht="15" customHeight="1">
      <c r="S82" s="1"/>
    </row>
    <row r="83" spans="2:14" ht="15" customHeight="1">
      <c r="B83" s="3"/>
      <c r="C83" s="3"/>
      <c r="D83" s="3"/>
      <c r="E83" s="3"/>
      <c r="F83" s="3"/>
      <c r="G83" s="3"/>
      <c r="H83" s="3"/>
      <c r="I83" s="3"/>
      <c r="J83" s="3"/>
      <c r="N83" s="3"/>
    </row>
    <row r="84" s="3" customFormat="1" ht="15" customHeight="1">
      <c r="B84" s="1"/>
    </row>
    <row r="85" s="3" customFormat="1" ht="15" customHeight="1"/>
    <row r="86" spans="3:4" s="3" customFormat="1" ht="15" customHeight="1">
      <c r="C86" s="1"/>
      <c r="D86" s="1"/>
    </row>
    <row r="87" spans="3:14" s="3" customFormat="1" ht="15" customHeight="1">
      <c r="C87" s="1"/>
      <c r="D87" s="1"/>
      <c r="E87" s="1"/>
      <c r="F87" s="1"/>
      <c r="G87" s="1"/>
      <c r="H87" s="1"/>
      <c r="I87" s="2"/>
      <c r="J87" s="1"/>
      <c r="N87" s="1"/>
    </row>
    <row r="88" s="3" customFormat="1" ht="15" customHeight="1"/>
    <row r="89" s="3" customFormat="1" ht="15" customHeight="1"/>
    <row r="90" spans="15:17" s="3" customFormat="1" ht="15" customHeight="1">
      <c r="O90" s="1"/>
      <c r="P90" s="1"/>
      <c r="Q90" s="1"/>
    </row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.75" customHeight="1"/>
    <row r="97" s="3" customFormat="1" ht="15" customHeight="1"/>
    <row r="98" s="3" customFormat="1" ht="15" customHeight="1"/>
    <row r="99" s="3" customFormat="1" ht="15" customHeight="1"/>
    <row r="100" spans="2:17" ht="15" customHeight="1">
      <c r="B100" s="3"/>
      <c r="C100" s="3"/>
      <c r="D100" s="5"/>
      <c r="E100" s="3"/>
      <c r="F100" s="3"/>
      <c r="G100" s="3"/>
      <c r="H100" s="3"/>
      <c r="I100" s="3"/>
      <c r="J100" s="3"/>
      <c r="N100" s="3"/>
      <c r="O100" s="3"/>
      <c r="P100" s="3"/>
      <c r="Q100" s="3"/>
    </row>
    <row r="101" spans="3:17" ht="15" customHeight="1">
      <c r="C101" s="3"/>
      <c r="D101" s="3"/>
      <c r="E101" s="3"/>
      <c r="F101" s="3"/>
      <c r="G101" s="3"/>
      <c r="H101" s="3"/>
      <c r="I101" s="3"/>
      <c r="J101" s="3"/>
      <c r="N101" s="3"/>
      <c r="O101" s="3"/>
      <c r="P101" s="3"/>
      <c r="Q101" s="3"/>
    </row>
    <row r="102" spans="3:17" ht="15" customHeight="1">
      <c r="C102" s="3"/>
      <c r="D102" s="3"/>
      <c r="E102" s="3"/>
      <c r="F102" s="3"/>
      <c r="G102" s="3"/>
      <c r="H102" s="3"/>
      <c r="I102" s="3"/>
      <c r="J102" s="3"/>
      <c r="N102" s="3"/>
      <c r="O102" s="3"/>
      <c r="P102" s="3"/>
      <c r="Q102" s="3"/>
    </row>
    <row r="103" spans="3:17" ht="15" customHeight="1">
      <c r="C103" s="7"/>
      <c r="D103" s="5"/>
      <c r="E103" s="3"/>
      <c r="F103" s="3"/>
      <c r="G103" s="3"/>
      <c r="H103" s="3"/>
      <c r="I103" s="3"/>
      <c r="J103" s="3"/>
      <c r="N103" s="3"/>
      <c r="O103" s="3"/>
      <c r="P103" s="3"/>
      <c r="Q103" s="3"/>
    </row>
    <row r="104" spans="15:17" ht="15" customHeight="1">
      <c r="O104" s="3"/>
      <c r="P104" s="3"/>
      <c r="Q104" s="3"/>
    </row>
    <row r="105" spans="15:17" ht="15" customHeight="1">
      <c r="O105" s="3"/>
      <c r="P105" s="3"/>
      <c r="Q105" s="3"/>
    </row>
    <row r="106" spans="15:17" ht="15" customHeight="1">
      <c r="O106" s="3"/>
      <c r="P106" s="3"/>
      <c r="Q106" s="3"/>
    </row>
    <row r="107" ht="15" customHeight="1"/>
    <row r="108" spans="12:13" ht="15" customHeight="1">
      <c r="L108" s="1"/>
      <c r="M108" s="1"/>
    </row>
    <row r="109" spans="12:13" ht="15" customHeight="1">
      <c r="L109" s="1"/>
      <c r="M109" s="1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sheetProtection sheet="1" objects="1" scenarios="1" selectLockedCells="1"/>
  <mergeCells count="2">
    <mergeCell ref="C8:D8"/>
    <mergeCell ref="C11:F11"/>
  </mergeCells>
  <conditionalFormatting sqref="J47:J55">
    <cfRule type="expression" priority="8" dxfId="0">
      <formula>$M$45&lt;-0.5</formula>
    </cfRule>
  </conditionalFormatting>
  <conditionalFormatting sqref="J39 J41:J42">
    <cfRule type="expression" priority="6" dxfId="0">
      <formula>($M$36+$M$37)&lt;0</formula>
    </cfRule>
  </conditionalFormatting>
  <conditionalFormatting sqref="J29:J33 J14:J27">
    <cfRule type="expression" priority="19" dxfId="0">
      <formula>$J$11&lt;-1</formula>
    </cfRule>
  </conditionalFormatting>
  <conditionalFormatting sqref="J40">
    <cfRule type="expression" priority="2" dxfId="0">
      <formula>($M$36+$M$37)&lt;0</formula>
    </cfRule>
  </conditionalFormatting>
  <conditionalFormatting sqref="J61:J65">
    <cfRule type="expression" priority="1" dxfId="0">
      <formula>$M$45&lt;-0.5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43" r:id="rId3"/>
  <colBreaks count="1" manualBreakCount="1">
    <brk id="8" max="65535" man="1"/>
  </colBreaks>
  <ignoredErrors>
    <ignoredError sqref="L29:L33 L14:L15 L16:L27 L61:L65 M61:M63 N61:N65"/>
    <ignoredError sqref="K49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M25"/>
  <sheetViews>
    <sheetView zoomScalePageLayoutView="0" workbookViewId="0" topLeftCell="A1">
      <selection activeCell="F7" sqref="F7"/>
    </sheetView>
  </sheetViews>
  <sheetFormatPr defaultColWidth="9.140625" defaultRowHeight="15"/>
  <cols>
    <col min="5" max="10" width="22.140625" style="0" customWidth="1"/>
    <col min="13" max="13" width="58.8515625" style="0" customWidth="1"/>
    <col min="14" max="16" width="27.28125" style="0" customWidth="1"/>
  </cols>
  <sheetData>
    <row r="4" ht="15" thickBot="1"/>
    <row r="5" spans="5:6" ht="46.5" customHeight="1">
      <c r="E5" s="102" t="s">
        <v>11</v>
      </c>
      <c r="F5" s="82" t="s">
        <v>46</v>
      </c>
    </row>
    <row r="6" spans="5:6" ht="18" thickBot="1">
      <c r="E6" s="83">
        <f>'Servings to DF Pounds'!$M$34+'Servings to DF Pounds'!$M$43+'Servings to DF Pounds'!$M$56+'Servings to DF Pounds'!$M$66</f>
        <v>0</v>
      </c>
      <c r="F6" s="123">
        <f>'Servings to DF Pounds'!$N$34+'Servings to DF Pounds'!$N$43+'Servings to DF Pounds'!$N$56+'Servings to DF Pounds'!$N$66</f>
        <v>0</v>
      </c>
    </row>
    <row r="13" spans="5:10" ht="78" customHeight="1">
      <c r="E13" s="120" t="s">
        <v>48</v>
      </c>
      <c r="G13" s="120" t="s">
        <v>49</v>
      </c>
      <c r="H13" s="120" t="s">
        <v>34</v>
      </c>
      <c r="I13" s="120" t="s">
        <v>35</v>
      </c>
      <c r="J13" s="120" t="s">
        <v>36</v>
      </c>
    </row>
    <row r="14" spans="5:10" ht="27.75" customHeight="1">
      <c r="E14" s="122">
        <f>(('Servings to DF Pounds'!$O$34*0.3109)/0.6891)-('Servings to DF Pounds'!$P$43)</f>
        <v>0</v>
      </c>
      <c r="G14" s="122">
        <f>'Dashboard Tables (SERVINGS)'!$E$14:$E$14/53.3</f>
        <v>0</v>
      </c>
      <c r="H14" s="121">
        <f>G14*232</f>
        <v>0</v>
      </c>
      <c r="I14" s="121">
        <f>IF('Dashboard Tables (SERVINGS)'!$H$14:$H$14&lt;0,'Dashboard Tables (SERVINGS)'!$H$14:$H$14,'Dashboard Tables (SERVINGS)'!$J$14:$J$14*232)</f>
        <v>0</v>
      </c>
      <c r="J14" s="121">
        <f>ROUNDDOWN('Dashboard Tables (SERVINGS)'!$G$14:$G$14,0)</f>
        <v>0</v>
      </c>
    </row>
    <row r="16" spans="7:10" ht="78" customHeight="1">
      <c r="G16" s="120" t="s">
        <v>50</v>
      </c>
      <c r="H16" s="120" t="s">
        <v>34</v>
      </c>
      <c r="I16" s="120" t="s">
        <v>35</v>
      </c>
      <c r="J16" s="120" t="s">
        <v>36</v>
      </c>
    </row>
    <row r="17" spans="7:10" ht="27.75" customHeight="1">
      <c r="G17" s="122">
        <f>'Dashboard Tables (SERVINGS)'!$E$14:$E$14/33.92</f>
        <v>0</v>
      </c>
      <c r="H17" s="121">
        <f>G17*76</f>
        <v>0</v>
      </c>
      <c r="I17" s="121">
        <f>IF('Dashboard Tables (SERVINGS)'!$H$17:$H$17&lt;0,'Dashboard Tables (SERVINGS)'!$H$17:$H$17,'Dashboard Tables (SERVINGS)'!$J$17:$J$17*76)</f>
        <v>0</v>
      </c>
      <c r="J17" s="121">
        <f>ROUNDDOWN('Dashboard Tables (SERVINGS)'!$G$17:$G$17,0)</f>
        <v>0</v>
      </c>
    </row>
    <row r="18" ht="15" thickBot="1"/>
    <row r="19" ht="36" customHeight="1">
      <c r="M19" s="125" t="s">
        <v>51</v>
      </c>
    </row>
    <row r="20" spans="7:13" ht="56.25" customHeight="1" thickBot="1">
      <c r="G20" s="120" t="s">
        <v>60</v>
      </c>
      <c r="H20" s="120" t="s">
        <v>34</v>
      </c>
      <c r="I20" s="120" t="s">
        <v>35</v>
      </c>
      <c r="J20" s="120" t="s">
        <v>36</v>
      </c>
      <c r="M20" s="124">
        <f>'Servings to DF Pounds'!$O$34+'Servings to DF Pounds'!$P$43+'Servings to DF Pounds'!$O$56+'Servings to DF Pounds'!$P$56+'Servings to DF Pounds'!$O$66+'Servings to DF Pounds'!$P$66</f>
        <v>0</v>
      </c>
    </row>
    <row r="21" spans="7:10" ht="23.25">
      <c r="G21" s="122">
        <f>'Dashboard Tables (SERVINGS)'!$E$14:$E$14/39.27</f>
        <v>0</v>
      </c>
      <c r="H21" s="121">
        <f>G21*123</f>
        <v>0</v>
      </c>
      <c r="I21" s="121">
        <f>IF('Dashboard Tables (SERVINGS)'!$H$21:$H$21&lt;0,'Dashboard Tables (SERVINGS)'!$H$21:$H$21,'Dashboard Tables (SERVINGS)'!$J$21:$J$21*123)</f>
        <v>0</v>
      </c>
      <c r="J21" s="121">
        <f>ROUNDDOWN('Dashboard Tables (SERVINGS)'!$G$21:$G$21,0)</f>
        <v>0</v>
      </c>
    </row>
    <row r="24" spans="7:10" ht="54">
      <c r="G24" s="120" t="s">
        <v>59</v>
      </c>
      <c r="H24" s="120" t="s">
        <v>34</v>
      </c>
      <c r="I24" s="120" t="s">
        <v>35</v>
      </c>
      <c r="J24" s="120" t="s">
        <v>36</v>
      </c>
    </row>
    <row r="25" spans="7:10" ht="23.25">
      <c r="G25" s="122">
        <f>'Dashboard Tables (SERVINGS)'!$E$14:$E$14/38.59</f>
        <v>0</v>
      </c>
      <c r="H25" s="121">
        <f>G25*123</f>
        <v>0</v>
      </c>
      <c r="I25" s="121">
        <f>IF('Dashboard Tables (SERVINGS)'!$H$25:$H$25&lt;0,'Dashboard Tables (SERVINGS)'!$H$25:$H$25,'Dashboard Tables (SERVINGS)'!$J$25:$J$25*123)</f>
        <v>0</v>
      </c>
      <c r="J25" s="121">
        <f>ROUNDDOWN('Dashboard Tables (SERVINGS)'!$G$25:$G$25,0)</f>
        <v>0</v>
      </c>
    </row>
  </sheetData>
  <sheetProtection/>
  <printOptions/>
  <pageMargins left="0.7" right="0.7" top="0.75" bottom="0.75" header="0.3" footer="0.3"/>
  <pageSetup orientation="portrait" r:id="rId6"/>
  <tableParts>
    <tablePart r:id="rId3"/>
    <tablePart r:id="rId4"/>
    <tablePart r:id="rId2"/>
    <tablePart r:id="rId5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E5:N24"/>
  <sheetViews>
    <sheetView zoomScalePageLayoutView="0" workbookViewId="0" topLeftCell="C1">
      <selection activeCell="F7" sqref="F7"/>
    </sheetView>
  </sheetViews>
  <sheetFormatPr defaultColWidth="9.140625" defaultRowHeight="15"/>
  <cols>
    <col min="1" max="4" width="9.140625" style="1" customWidth="1"/>
    <col min="5" max="10" width="22.140625" style="1" customWidth="1"/>
    <col min="11" max="13" width="9.140625" style="1" customWidth="1"/>
    <col min="14" max="14" width="58.8515625" style="1" customWidth="1"/>
    <col min="15" max="16" width="27.28125" style="1" customWidth="1"/>
    <col min="17" max="16384" width="9.140625" style="1" customWidth="1"/>
  </cols>
  <sheetData>
    <row r="4" ht="15" thickBot="1"/>
    <row r="5" spans="5:6" ht="46.5" customHeight="1">
      <c r="E5" s="127" t="s">
        <v>11</v>
      </c>
      <c r="F5" s="128" t="s">
        <v>46</v>
      </c>
    </row>
    <row r="6" spans="5:6" ht="19.5" customHeight="1" thickBot="1">
      <c r="E6" s="129">
        <f>'Cases to DF Pounds'!$K$34+'Cases to DF Pounds'!$K$43+'Cases to DF Pounds'!$K$56+'Cases to DF Pounds'!$K$66</f>
        <v>0</v>
      </c>
      <c r="F6" s="130">
        <f>'Cases to DF Pounds'!$L$34+'Cases to DF Pounds'!$L$43+'Cases to DF Pounds'!$L$56+'Cases to DF Pounds'!$L$66</f>
        <v>0</v>
      </c>
    </row>
    <row r="11" ht="14.25">
      <c r="E11" s="5"/>
    </row>
    <row r="12" ht="14.25">
      <c r="E12" s="5"/>
    </row>
    <row r="13" spans="5:8" ht="28.5">
      <c r="E13" s="6" t="s">
        <v>54</v>
      </c>
      <c r="F13" s="5"/>
      <c r="G13" s="13"/>
      <c r="H13" s="13"/>
    </row>
    <row r="14" spans="5:6" ht="14.25">
      <c r="E14" s="77">
        <f>(('Cases to DF Pounds'!$M$34*0.3109)/0.6891)-'Cases to DF Pounds'!$N$43</f>
        <v>0</v>
      </c>
      <c r="F14" s="13"/>
    </row>
    <row r="15" spans="5:8" ht="14.25">
      <c r="E15" s="13"/>
      <c r="F15" s="13"/>
      <c r="G15" s="13"/>
      <c r="H15" s="13"/>
    </row>
    <row r="16" spans="5:8" ht="14.25">
      <c r="E16" s="5"/>
      <c r="F16" s="5"/>
      <c r="G16" s="13"/>
      <c r="H16" s="13"/>
    </row>
    <row r="17" spans="5:8" ht="28.5">
      <c r="E17" s="6" t="s">
        <v>40</v>
      </c>
      <c r="F17" s="6" t="s">
        <v>39</v>
      </c>
      <c r="G17" s="6" t="s">
        <v>66</v>
      </c>
      <c r="H17" s="6" t="s">
        <v>59</v>
      </c>
    </row>
    <row r="18" spans="5:9" ht="14.25">
      <c r="E18" s="126">
        <f>ROUND('Dashboard Tables (DF POUNDS)'!$E$14:$E$14/53.3,0)</f>
        <v>0</v>
      </c>
      <c r="F18" s="126">
        <f>ROUND('Dashboard Tables (DF POUNDS)'!$E$14:$E$14/33.92,0)</f>
        <v>0</v>
      </c>
      <c r="G18" s="126">
        <f>ROUND('Dashboard Tables (DF POUNDS)'!$E$14:$E$14/39.27,0)</f>
        <v>0</v>
      </c>
      <c r="H18" s="126">
        <f>ROUND('Dashboard Tables (DF POUNDS)'!$E$14:$E$14/38.59,0)</f>
        <v>0</v>
      </c>
      <c r="I18" s="13"/>
    </row>
    <row r="19" spans="6:7" ht="14.25">
      <c r="F19" s="13"/>
      <c r="G19" s="13"/>
    </row>
    <row r="21" spans="8:10" ht="14.25">
      <c r="H21" s="13"/>
      <c r="I21" s="13"/>
      <c r="J21" s="13"/>
    </row>
    <row r="22" ht="15" thickBot="1"/>
    <row r="23" ht="36" customHeight="1">
      <c r="N23" s="131" t="s">
        <v>51</v>
      </c>
    </row>
    <row r="24" ht="56.25" customHeight="1" thickBot="1">
      <c r="N24" s="132">
        <f>'Cases to DF Pounds'!$M$34+'Cases to DF Pounds'!$N$43+'Cases to DF Pounds'!$M$56+'Cases to DF Pounds'!$N$56+'Cases to DF Pounds'!$M$66+'Cases to DF Pounds'!$N$66</f>
        <v>0</v>
      </c>
    </row>
  </sheetData>
  <sheetProtection/>
  <printOptions/>
  <pageMargins left="0.7" right="0.7" top="0.75" bottom="0.75" header="0.3" footer="0.3"/>
  <pageSetup orientation="portrait" r:id="rId6"/>
  <tableParts>
    <tablePart r:id="rId3"/>
    <tablePart r:id="rId5"/>
    <tablePart r:id="rId1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Rodriguez</dc:creator>
  <cp:keywords/>
  <dc:description/>
  <cp:lastModifiedBy>Bonnie</cp:lastModifiedBy>
  <cp:lastPrinted>2019-02-27T22:10:10Z</cp:lastPrinted>
  <dcterms:created xsi:type="dcterms:W3CDTF">2018-08-29T21:17:54Z</dcterms:created>
  <dcterms:modified xsi:type="dcterms:W3CDTF">2020-11-17T17:04:31Z</dcterms:modified>
  <cp:category/>
  <cp:version/>
  <cp:contentType/>
  <cp:contentStatus/>
</cp:coreProperties>
</file>